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oll.Bali\Downloads\"/>
    </mc:Choice>
  </mc:AlternateContent>
  <xr:revisionPtr revIDLastSave="0" documentId="13_ncr:1_{302082BE-6C4C-43BE-9AD4-8ABD1BF75FAD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2016" sheetId="1" r:id="rId1"/>
    <sheet name="2017" sheetId="2" r:id="rId2"/>
    <sheet name="2018" sheetId="3" r:id="rId3"/>
    <sheet name="2019" sheetId="5" r:id="rId4"/>
    <sheet name="2020" sheetId="6" r:id="rId5"/>
    <sheet name="2021" sheetId="7" r:id="rId6"/>
    <sheet name="2022" sheetId="8" r:id="rId7"/>
    <sheet name="2023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Print_Area" localSheetId="0">'2016'!$A$1:$G$11</definedName>
    <definedName name="_xlnm.Print_Area" localSheetId="1">'2017'!$A$1:$G$11</definedName>
    <definedName name="_xlnm.Print_Area" localSheetId="2">'2018'!$A$1:$G$11</definedName>
    <definedName name="_xlnm.Print_Area" localSheetId="3">'2019'!$A$1:$G$11</definedName>
    <definedName name="_xlnm.Print_Area" localSheetId="4">'2020'!$A$1:$G$11</definedName>
    <definedName name="_xlnm.Print_Area" localSheetId="5">'2021'!$A$1:$G$51</definedName>
    <definedName name="_xlnm.Print_Area" localSheetId="6">'2022'!$A$1:$G$51</definedName>
    <definedName name="_xlnm.Print_Area" localSheetId="7">'2023'!$A$1:$G$50</definedName>
  </definedNames>
  <calcPr calcId="181029"/>
</workbook>
</file>

<file path=xl/calcChain.xml><?xml version="1.0" encoding="utf-8"?>
<calcChain xmlns="http://schemas.openxmlformats.org/spreadsheetml/2006/main">
  <c r="B49" i="9" l="1"/>
  <c r="B33" i="9"/>
  <c r="B32" i="9" s="1"/>
  <c r="B27" i="9"/>
  <c r="B20" i="9"/>
  <c r="B21" i="9"/>
  <c r="B8" i="9" s="1"/>
  <c r="B22" i="9"/>
  <c r="B9" i="9" s="1"/>
  <c r="B23" i="9"/>
  <c r="B19" i="9"/>
  <c r="B15" i="9"/>
  <c r="B14" i="9"/>
  <c r="B13" i="9"/>
  <c r="C45" i="9"/>
  <c r="B40" i="9"/>
  <c r="B39" i="9" s="1"/>
  <c r="C37" i="9"/>
  <c r="D8" i="9" s="1"/>
  <c r="C36" i="9"/>
  <c r="D7" i="9" s="1"/>
  <c r="E6" i="9"/>
  <c r="D5" i="9"/>
  <c r="E4" i="9"/>
  <c r="B50" i="8"/>
  <c r="B46" i="8"/>
  <c r="C46" i="8" s="1"/>
  <c r="B41" i="8"/>
  <c r="B40" i="8"/>
  <c r="B35" i="8"/>
  <c r="B34" i="8"/>
  <c r="B33" i="8"/>
  <c r="B21" i="8"/>
  <c r="B22" i="8"/>
  <c r="B8" i="8" s="1"/>
  <c r="B23" i="8"/>
  <c r="B9" i="8" s="1"/>
  <c r="B24" i="8"/>
  <c r="B20" i="8"/>
  <c r="B16" i="8"/>
  <c r="B15" i="8"/>
  <c r="B14" i="8"/>
  <c r="C38" i="8"/>
  <c r="D8" i="8" s="1"/>
  <c r="C37" i="8"/>
  <c r="D7" i="8" s="1"/>
  <c r="D5" i="8"/>
  <c r="E4" i="8"/>
  <c r="B28" i="7"/>
  <c r="B34" i="7"/>
  <c r="B33" i="7" s="1"/>
  <c r="B46" i="7"/>
  <c r="B50" i="7"/>
  <c r="B41" i="7"/>
  <c r="B40" i="7" s="1"/>
  <c r="B35" i="7"/>
  <c r="C37" i="7" s="1"/>
  <c r="D7" i="7" s="1"/>
  <c r="B21" i="7"/>
  <c r="B22" i="7"/>
  <c r="B8" i="7" s="1"/>
  <c r="B23" i="7"/>
  <c r="B9" i="7" s="1"/>
  <c r="B24" i="7"/>
  <c r="B25" i="7"/>
  <c r="B20" i="7"/>
  <c r="B16" i="7"/>
  <c r="B15" i="7"/>
  <c r="B14" i="7"/>
  <c r="C46" i="7"/>
  <c r="C38" i="7"/>
  <c r="D8" i="7" s="1"/>
  <c r="D5" i="7"/>
  <c r="E4" i="7"/>
  <c r="B46" i="6"/>
  <c r="B40" i="6"/>
  <c r="B41" i="6"/>
  <c r="B50" i="6"/>
  <c r="B35" i="6"/>
  <c r="C37" i="6" s="1"/>
  <c r="D7" i="6" s="1"/>
  <c r="C26" i="6"/>
  <c r="B28" i="6" s="1"/>
  <c r="B34" i="6"/>
  <c r="B33" i="6" s="1"/>
  <c r="C46" i="6"/>
  <c r="C38" i="6"/>
  <c r="D8" i="6" s="1"/>
  <c r="B26" i="6"/>
  <c r="B17" i="6"/>
  <c r="B5" i="6" s="1"/>
  <c r="B9" i="6"/>
  <c r="B8" i="6"/>
  <c r="D5" i="6"/>
  <c r="E4" i="6"/>
  <c r="B34" i="5"/>
  <c r="D3" i="5" s="1"/>
  <c r="B46" i="5"/>
  <c r="C46" i="5" s="1"/>
  <c r="B41" i="5"/>
  <c r="E6" i="5" s="1"/>
  <c r="B50" i="5"/>
  <c r="B35" i="5"/>
  <c r="C38" i="5"/>
  <c r="D8" i="5" s="1"/>
  <c r="C37" i="5"/>
  <c r="D7" i="5" s="1"/>
  <c r="B26" i="5"/>
  <c r="C26" i="5" s="1"/>
  <c r="B28" i="5" s="1"/>
  <c r="B17" i="5"/>
  <c r="B5" i="5" s="1"/>
  <c r="B9" i="5"/>
  <c r="B8" i="5"/>
  <c r="B6" i="5"/>
  <c r="D5" i="5"/>
  <c r="E4" i="5"/>
  <c r="B33" i="3"/>
  <c r="D2" i="3" s="1"/>
  <c r="B46" i="3"/>
  <c r="C46" i="3" s="1"/>
  <c r="B35" i="3"/>
  <c r="C37" i="3" s="1"/>
  <c r="D7" i="3" s="1"/>
  <c r="C26" i="3"/>
  <c r="B28" i="3" s="1"/>
  <c r="C29" i="3" s="1"/>
  <c r="B50" i="3"/>
  <c r="B41" i="3"/>
  <c r="B40" i="3"/>
  <c r="C38" i="3"/>
  <c r="D8" i="3" s="1"/>
  <c r="B26" i="3"/>
  <c r="B17" i="3"/>
  <c r="B6" i="3" s="1"/>
  <c r="B9" i="3"/>
  <c r="B8" i="3"/>
  <c r="D5" i="3"/>
  <c r="E4" i="3"/>
  <c r="D3" i="3"/>
  <c r="B50" i="2"/>
  <c r="B41" i="2"/>
  <c r="B40" i="2" s="1"/>
  <c r="B35" i="2"/>
  <c r="C37" i="2" s="1"/>
  <c r="D7" i="2" s="1"/>
  <c r="B33" i="2"/>
  <c r="D2" i="2" s="1"/>
  <c r="D4" i="2" s="1"/>
  <c r="B26" i="1"/>
  <c r="B26" i="2"/>
  <c r="C46" i="2"/>
  <c r="C38" i="2"/>
  <c r="C29" i="2"/>
  <c r="B17" i="2"/>
  <c r="B5" i="2" s="1"/>
  <c r="B9" i="2"/>
  <c r="D8" i="2"/>
  <c r="B8" i="2"/>
  <c r="D5" i="2"/>
  <c r="E4" i="2"/>
  <c r="D3" i="2"/>
  <c r="E4" i="1"/>
  <c r="D5" i="1"/>
  <c r="D3" i="1"/>
  <c r="B33" i="1"/>
  <c r="D2" i="1" s="1"/>
  <c r="D4" i="1" s="1"/>
  <c r="C46" i="1"/>
  <c r="C38" i="1"/>
  <c r="D8" i="1" s="1"/>
  <c r="C37" i="1"/>
  <c r="D7" i="1" s="1"/>
  <c r="C29" i="1"/>
  <c r="B50" i="1"/>
  <c r="B41" i="1"/>
  <c r="B40" i="1" s="1"/>
  <c r="E5" i="1" s="1"/>
  <c r="B9" i="1"/>
  <c r="B8" i="1"/>
  <c r="B17" i="1"/>
  <c r="B6" i="1" s="1"/>
  <c r="B17" i="7" l="1"/>
  <c r="B2" i="7" s="1"/>
  <c r="B16" i="9"/>
  <c r="B3" i="9" s="1"/>
  <c r="E5" i="9"/>
  <c r="E10" i="9" s="1"/>
  <c r="E11" i="9" s="1"/>
  <c r="C40" i="9"/>
  <c r="B40" i="5"/>
  <c r="C41" i="5" s="1"/>
  <c r="D3" i="7"/>
  <c r="B25" i="9"/>
  <c r="B33" i="5"/>
  <c r="C34" i="5" s="1"/>
  <c r="E6" i="2"/>
  <c r="D10" i="9"/>
  <c r="D3" i="9"/>
  <c r="B46" i="9"/>
  <c r="B48" i="9" s="1"/>
  <c r="B50" i="9" s="1"/>
  <c r="B52" i="9" s="1"/>
  <c r="C28" i="9"/>
  <c r="B6" i="9"/>
  <c r="D2" i="9"/>
  <c r="C33" i="9"/>
  <c r="B17" i="8"/>
  <c r="B6" i="8" s="1"/>
  <c r="C41" i="8"/>
  <c r="E5" i="8"/>
  <c r="D10" i="8"/>
  <c r="E6" i="8"/>
  <c r="B26" i="8"/>
  <c r="B5" i="8"/>
  <c r="B10" i="8" s="1"/>
  <c r="D2" i="8"/>
  <c r="C34" i="8"/>
  <c r="B3" i="8"/>
  <c r="D3" i="8"/>
  <c r="D2" i="7"/>
  <c r="C34" i="7"/>
  <c r="D10" i="7"/>
  <c r="B26" i="7"/>
  <c r="H25" i="7" s="1"/>
  <c r="B3" i="7"/>
  <c r="B6" i="7"/>
  <c r="E5" i="7"/>
  <c r="C41" i="7"/>
  <c r="E6" i="7"/>
  <c r="D3" i="6"/>
  <c r="B3" i="6"/>
  <c r="B6" i="6"/>
  <c r="B10" i="6" s="1"/>
  <c r="B47" i="6"/>
  <c r="B49" i="6" s="1"/>
  <c r="B51" i="6" s="1"/>
  <c r="B53" i="6" s="1"/>
  <c r="C29" i="6"/>
  <c r="D2" i="6"/>
  <c r="D4" i="6" s="1"/>
  <c r="C34" i="6"/>
  <c r="D10" i="6"/>
  <c r="C41" i="6"/>
  <c r="E5" i="6"/>
  <c r="B2" i="6"/>
  <c r="E6" i="6"/>
  <c r="D10" i="5"/>
  <c r="D2" i="5"/>
  <c r="D4" i="5" s="1"/>
  <c r="B2" i="5"/>
  <c r="B3" i="5"/>
  <c r="C29" i="5"/>
  <c r="B47" i="5"/>
  <c r="B49" i="5" s="1"/>
  <c r="B51" i="5" s="1"/>
  <c r="B53" i="5" s="1"/>
  <c r="B10" i="5"/>
  <c r="D4" i="3"/>
  <c r="B3" i="3"/>
  <c r="B2" i="3"/>
  <c r="B4" i="3" s="1"/>
  <c r="B5" i="3"/>
  <c r="B10" i="3" s="1"/>
  <c r="C41" i="3"/>
  <c r="E5" i="3"/>
  <c r="E10" i="3" s="1"/>
  <c r="E11" i="3" s="1"/>
  <c r="B47" i="3"/>
  <c r="B49" i="3" s="1"/>
  <c r="B51" i="3" s="1"/>
  <c r="B53" i="3" s="1"/>
  <c r="D10" i="3"/>
  <c r="E6" i="3"/>
  <c r="C34" i="3"/>
  <c r="C41" i="2"/>
  <c r="E5" i="2"/>
  <c r="E10" i="2" s="1"/>
  <c r="E11" i="2" s="1"/>
  <c r="D10" i="2"/>
  <c r="B3" i="2"/>
  <c r="B6" i="2"/>
  <c r="B10" i="2" s="1"/>
  <c r="B2" i="2"/>
  <c r="D11" i="2"/>
  <c r="C34" i="2"/>
  <c r="B47" i="2"/>
  <c r="B49" i="2" s="1"/>
  <c r="B51" i="2" s="1"/>
  <c r="D10" i="1"/>
  <c r="D11" i="1" s="1"/>
  <c r="E6" i="1"/>
  <c r="E10" i="1" s="1"/>
  <c r="E11" i="1" s="1"/>
  <c r="C41" i="1"/>
  <c r="B47" i="1"/>
  <c r="B49" i="1" s="1"/>
  <c r="B51" i="1" s="1"/>
  <c r="C34" i="1"/>
  <c r="C47" i="1" s="1"/>
  <c r="B2" i="1"/>
  <c r="B3" i="1"/>
  <c r="B5" i="1"/>
  <c r="B2" i="9" l="1"/>
  <c r="B5" i="7"/>
  <c r="B10" i="7" s="1"/>
  <c r="B5" i="9"/>
  <c r="D4" i="7"/>
  <c r="B2" i="8"/>
  <c r="H26" i="8"/>
  <c r="B28" i="8" s="1"/>
  <c r="C29" i="8" s="1"/>
  <c r="C47" i="8" s="1"/>
  <c r="D11" i="7"/>
  <c r="E5" i="5"/>
  <c r="E10" i="5" s="1"/>
  <c r="E11" i="5" s="1"/>
  <c r="D4" i="9"/>
  <c r="D11" i="9" s="1"/>
  <c r="B4" i="9"/>
  <c r="C46" i="9"/>
  <c r="B10" i="9"/>
  <c r="E10" i="8"/>
  <c r="E11" i="8" s="1"/>
  <c r="B4" i="8"/>
  <c r="B11" i="8" s="1"/>
  <c r="D4" i="8"/>
  <c r="D11" i="8" s="1"/>
  <c r="B4" i="7"/>
  <c r="E10" i="7"/>
  <c r="E11" i="7" s="1"/>
  <c r="D11" i="6"/>
  <c r="B4" i="6"/>
  <c r="B11" i="6" s="1"/>
  <c r="C47" i="6"/>
  <c r="E10" i="6"/>
  <c r="E11" i="6" s="1"/>
  <c r="D11" i="5"/>
  <c r="B4" i="5"/>
  <c r="B11" i="5"/>
  <c r="C7" i="5" s="1"/>
  <c r="C47" i="5"/>
  <c r="D11" i="3"/>
  <c r="C47" i="3"/>
  <c r="B11" i="3"/>
  <c r="C47" i="2"/>
  <c r="B4" i="2"/>
  <c r="B11" i="2" s="1"/>
  <c r="B10" i="1"/>
  <c r="B4" i="1"/>
  <c r="B11" i="7" l="1"/>
  <c r="B47" i="8"/>
  <c r="B49" i="8" s="1"/>
  <c r="B51" i="8" s="1"/>
  <c r="B53" i="8" s="1"/>
  <c r="C8" i="8"/>
  <c r="B11" i="9"/>
  <c r="C2" i="8"/>
  <c r="C3" i="8"/>
  <c r="C5" i="8"/>
  <c r="C6" i="8"/>
  <c r="C9" i="8"/>
  <c r="C7" i="8"/>
  <c r="C29" i="7"/>
  <c r="C47" i="7" s="1"/>
  <c r="B47" i="7"/>
  <c r="B49" i="7" s="1"/>
  <c r="B51" i="7" s="1"/>
  <c r="B53" i="7" s="1"/>
  <c r="C7" i="6"/>
  <c r="C2" i="6"/>
  <c r="C8" i="6"/>
  <c r="C9" i="6"/>
  <c r="C3" i="6"/>
  <c r="C6" i="6"/>
  <c r="C5" i="6"/>
  <c r="C9" i="5"/>
  <c r="C8" i="5"/>
  <c r="C3" i="5"/>
  <c r="C2" i="5"/>
  <c r="C6" i="5"/>
  <c r="C5" i="5"/>
  <c r="C7" i="3"/>
  <c r="C6" i="3"/>
  <c r="C3" i="3"/>
  <c r="C9" i="3"/>
  <c r="C5" i="3"/>
  <c r="C8" i="3"/>
  <c r="C2" i="3"/>
  <c r="C7" i="2"/>
  <c r="C6" i="2"/>
  <c r="C9" i="2"/>
  <c r="C3" i="2"/>
  <c r="C8" i="2"/>
  <c r="C2" i="2"/>
  <c r="C5" i="2"/>
  <c r="B11" i="1"/>
  <c r="C10" i="2" l="1"/>
  <c r="C2" i="9"/>
  <c r="C7" i="9"/>
  <c r="C6" i="9"/>
  <c r="C8" i="9"/>
  <c r="C3" i="9"/>
  <c r="C5" i="9"/>
  <c r="C9" i="9"/>
  <c r="C4" i="8"/>
  <c r="C10" i="8"/>
  <c r="C11" i="8" s="1"/>
  <c r="C5" i="7"/>
  <c r="C9" i="7"/>
  <c r="C7" i="7"/>
  <c r="C6" i="7"/>
  <c r="C8" i="7"/>
  <c r="C2" i="7"/>
  <c r="C3" i="7"/>
  <c r="C4" i="6"/>
  <c r="C10" i="6"/>
  <c r="C10" i="5"/>
  <c r="C4" i="5"/>
  <c r="C10" i="3"/>
  <c r="C4" i="3"/>
  <c r="C4" i="2"/>
  <c r="C11" i="2" s="1"/>
  <c r="C7" i="1"/>
  <c r="C5" i="1"/>
  <c r="C3" i="1"/>
  <c r="C2" i="1"/>
  <c r="C8" i="1"/>
  <c r="C6" i="1"/>
  <c r="C9" i="1"/>
  <c r="C4" i="9" l="1"/>
  <c r="C10" i="9"/>
  <c r="F8" i="8"/>
  <c r="G8" i="8" s="1"/>
  <c r="F3" i="8"/>
  <c r="G3" i="8" s="1"/>
  <c r="F2" i="8"/>
  <c r="F6" i="8"/>
  <c r="G6" i="8" s="1"/>
  <c r="F9" i="8"/>
  <c r="G9" i="8" s="1"/>
  <c r="F5" i="8"/>
  <c r="F7" i="8"/>
  <c r="G7" i="8" s="1"/>
  <c r="C10" i="7"/>
  <c r="C4" i="7"/>
  <c r="C11" i="6"/>
  <c r="C11" i="5"/>
  <c r="C11" i="3"/>
  <c r="F9" i="2"/>
  <c r="G9" i="2" s="1"/>
  <c r="F8" i="2"/>
  <c r="G8" i="2" s="1"/>
  <c r="F7" i="2"/>
  <c r="G7" i="2" s="1"/>
  <c r="F6" i="2"/>
  <c r="G6" i="2" s="1"/>
  <c r="F5" i="2"/>
  <c r="F3" i="2"/>
  <c r="G3" i="2" s="1"/>
  <c r="F2" i="2"/>
  <c r="C10" i="1"/>
  <c r="C4" i="1"/>
  <c r="C11" i="9" l="1"/>
  <c r="F4" i="8"/>
  <c r="G4" i="8" s="1"/>
  <c r="G2" i="8"/>
  <c r="F10" i="8"/>
  <c r="G5" i="8"/>
  <c r="C11" i="7"/>
  <c r="F6" i="7" s="1"/>
  <c r="G6" i="7" s="1"/>
  <c r="F9" i="6"/>
  <c r="G9" i="6" s="1"/>
  <c r="F2" i="6"/>
  <c r="F8" i="6"/>
  <c r="G8" i="6" s="1"/>
  <c r="F7" i="6"/>
  <c r="G7" i="6" s="1"/>
  <c r="F6" i="6"/>
  <c r="G6" i="6" s="1"/>
  <c r="F5" i="6"/>
  <c r="F3" i="6"/>
  <c r="G3" i="6" s="1"/>
  <c r="F7" i="5"/>
  <c r="G7" i="5" s="1"/>
  <c r="F3" i="5"/>
  <c r="G3" i="5" s="1"/>
  <c r="F2" i="5"/>
  <c r="F8" i="5"/>
  <c r="G8" i="5" s="1"/>
  <c r="F5" i="5"/>
  <c r="F6" i="5"/>
  <c r="G6" i="5" s="1"/>
  <c r="F9" i="5"/>
  <c r="G9" i="5" s="1"/>
  <c r="F5" i="3"/>
  <c r="F3" i="3"/>
  <c r="G3" i="3" s="1"/>
  <c r="F2" i="3"/>
  <c r="F9" i="3"/>
  <c r="G9" i="3" s="1"/>
  <c r="F8" i="3"/>
  <c r="G8" i="3" s="1"/>
  <c r="F6" i="3"/>
  <c r="G6" i="3" s="1"/>
  <c r="F7" i="3"/>
  <c r="G7" i="3" s="1"/>
  <c r="F4" i="2"/>
  <c r="G4" i="2" s="1"/>
  <c r="G2" i="2"/>
  <c r="F10" i="2"/>
  <c r="G5" i="2"/>
  <c r="C11" i="1"/>
  <c r="F7" i="9" l="1"/>
  <c r="G7" i="9" s="1"/>
  <c r="F9" i="9"/>
  <c r="G9" i="9" s="1"/>
  <c r="F6" i="9"/>
  <c r="G6" i="9" s="1"/>
  <c r="F8" i="9"/>
  <c r="G8" i="9" s="1"/>
  <c r="F5" i="9"/>
  <c r="F2" i="9"/>
  <c r="F3" i="9"/>
  <c r="G3" i="9" s="1"/>
  <c r="F11" i="8"/>
  <c r="G11" i="8" s="1"/>
  <c r="H11" i="8" s="1"/>
  <c r="G10" i="8"/>
  <c r="F5" i="7"/>
  <c r="G5" i="7" s="1"/>
  <c r="F7" i="7"/>
  <c r="G7" i="7" s="1"/>
  <c r="F3" i="7"/>
  <c r="G3" i="7" s="1"/>
  <c r="F8" i="7"/>
  <c r="G8" i="7" s="1"/>
  <c r="F9" i="7"/>
  <c r="G9" i="7" s="1"/>
  <c r="F2" i="7"/>
  <c r="F4" i="6"/>
  <c r="G4" i="6" s="1"/>
  <c r="G2" i="6"/>
  <c r="F10" i="6"/>
  <c r="G5" i="6"/>
  <c r="F4" i="5"/>
  <c r="G4" i="5" s="1"/>
  <c r="G2" i="5"/>
  <c r="F10" i="5"/>
  <c r="G5" i="5"/>
  <c r="F4" i="3"/>
  <c r="G4" i="3" s="1"/>
  <c r="G2" i="3"/>
  <c r="F10" i="3"/>
  <c r="G5" i="3"/>
  <c r="F11" i="2"/>
  <c r="G11" i="2" s="1"/>
  <c r="G12" i="2" s="1"/>
  <c r="G10" i="2"/>
  <c r="F6" i="1"/>
  <c r="G6" i="1" s="1"/>
  <c r="F2" i="1"/>
  <c r="G2" i="1" s="1"/>
  <c r="F9" i="1"/>
  <c r="G9" i="1" s="1"/>
  <c r="F5" i="1"/>
  <c r="F7" i="1"/>
  <c r="G7" i="1" s="1"/>
  <c r="F3" i="1"/>
  <c r="F8" i="1"/>
  <c r="G8" i="1" s="1"/>
  <c r="F4" i="9" l="1"/>
  <c r="G4" i="9" s="1"/>
  <c r="G2" i="9"/>
  <c r="F10" i="9"/>
  <c r="G5" i="9"/>
  <c r="F4" i="7"/>
  <c r="G4" i="7" s="1"/>
  <c r="G2" i="7"/>
  <c r="F10" i="7"/>
  <c r="G10" i="7" s="1"/>
  <c r="F11" i="6"/>
  <c r="G11" i="6" s="1"/>
  <c r="G12" i="6" s="1"/>
  <c r="G10" i="6"/>
  <c r="F11" i="5"/>
  <c r="G11" i="5" s="1"/>
  <c r="G12" i="5" s="1"/>
  <c r="G10" i="5"/>
  <c r="F11" i="3"/>
  <c r="G11" i="3" s="1"/>
  <c r="G12" i="3" s="1"/>
  <c r="G10" i="3"/>
  <c r="F4" i="1"/>
  <c r="G4" i="1" s="1"/>
  <c r="G3" i="1"/>
  <c r="F10" i="1"/>
  <c r="G5" i="1"/>
  <c r="F11" i="9" l="1"/>
  <c r="G11" i="9" s="1"/>
  <c r="H11" i="9" s="1"/>
  <c r="G10" i="9"/>
  <c r="F11" i="7"/>
  <c r="G11" i="7" s="1"/>
  <c r="H11" i="7" s="1"/>
  <c r="F11" i="1"/>
  <c r="G11" i="1" s="1"/>
  <c r="G12" i="1" s="1"/>
  <c r="G10" i="1"/>
</calcChain>
</file>

<file path=xl/sharedStrings.xml><?xml version="1.0" encoding="utf-8"?>
<sst xmlns="http://schemas.openxmlformats.org/spreadsheetml/2006/main" count="408" uniqueCount="53">
  <si>
    <t>SERVIZI</t>
  </si>
  <si>
    <t>TOTALE</t>
  </si>
  <si>
    <t>Gestione alloggi proprietà ACER</t>
  </si>
  <si>
    <t>TOTALE COMPLESSIVO COSTI CONTABILIZZATI</t>
  </si>
  <si>
    <t>Amministrazione</t>
  </si>
  <si>
    <t>Affari Generali e Utenza</t>
  </si>
  <si>
    <t>Emergenza Abitativa</t>
  </si>
  <si>
    <t>Amministraz. Condomin.</t>
  </si>
  <si>
    <t>Manutenzioni</t>
  </si>
  <si>
    <t>Nuove Costruzioni</t>
  </si>
  <si>
    <t>Totali</t>
  </si>
  <si>
    <t>ALLOGGI ACER</t>
  </si>
  <si>
    <t>ALLOGGI ERP/ERS PROPRIETA' COMUNALE</t>
  </si>
  <si>
    <t>IMMOBILI NON ABITATIVI</t>
  </si>
  <si>
    <t>Gestione alloggi erp/ers comunali</t>
  </si>
  <si>
    <t>TOTALE COSTI CONTABILIZZATI ATTIVITA' E.R.P./E.R.S.</t>
  </si>
  <si>
    <t xml:space="preserve">Gestione immobili non abitativi </t>
  </si>
  <si>
    <t>Prestazioni tecniche per conto terzi</t>
  </si>
  <si>
    <t xml:space="preserve">Servizio di Emergenza Abitativa </t>
  </si>
  <si>
    <t>Servizio di Amministrazione Condominiale</t>
  </si>
  <si>
    <t>TOTALE COSTI CONTABILIZZATI ALTRE ATTIVITA'</t>
  </si>
  <si>
    <t xml:space="preserve">Manutenzione e Costruzione alloggi erp/ers </t>
  </si>
  <si>
    <t>COSTI PERSONALE</t>
  </si>
  <si>
    <t>SPESE GENERALI</t>
  </si>
  <si>
    <t>ALTRI COSTI DIRETTI</t>
  </si>
  <si>
    <t>SPESE DEL PERSONALE</t>
  </si>
  <si>
    <t>SPESE GENERALI 308.001</t>
  </si>
  <si>
    <t>SPESE PER INTERVENTI EDILIZI 308.005</t>
  </si>
  <si>
    <t>SPESE PER EMERGENZA ABITATIVA 308.006</t>
  </si>
  <si>
    <t>Q.AMM.TO MOBILI 314</t>
  </si>
  <si>
    <t>ACCANTONAMENTI 316</t>
  </si>
  <si>
    <t>PERDITE PER RIENTRI 317</t>
  </si>
  <si>
    <t>SP. DIVERSE E SOPRAVV.PASSIVE 319</t>
  </si>
  <si>
    <t>MINUSVALENZE PATRIMONIALI 320</t>
  </si>
  <si>
    <t>IMPOSTE E TASSE 321</t>
  </si>
  <si>
    <t>SPESE PER N.C. 305</t>
  </si>
  <si>
    <t>SPESE PER M.S. 306</t>
  </si>
  <si>
    <t>SPESE AMMINISTRAZIONE STABILI ACER 308.002</t>
  </si>
  <si>
    <t>SPESE MANUTENZIONE STABILI ACER 308.003</t>
  </si>
  <si>
    <t>SPESE PER SERVIZI A RIMBORSO ACER 308.004</t>
  </si>
  <si>
    <t>INTERESSI</t>
  </si>
  <si>
    <t xml:space="preserve">TOTALE </t>
  </si>
  <si>
    <t>TOTALE COSTI</t>
  </si>
  <si>
    <t>COSTI CONCESSIONI COMUNI 330 - AMMINISTRAZIONE</t>
  </si>
  <si>
    <t>COSTI CONCESSIONI COMUNI 330 - MANUTENZIONE</t>
  </si>
  <si>
    <t>IMPOSTE, ONERI, INTERESSI</t>
  </si>
  <si>
    <t>Q. AMM. IMMOBILI</t>
  </si>
  <si>
    <t>SPESE PER INTERVENTI EDILIZI 308.005-308.003.006003</t>
  </si>
  <si>
    <t>QUOTE AMM.TO IMMOBILI 312 - ABITATIVI</t>
  </si>
  <si>
    <t>QUOTE AMM.TO IMMOBILI 312 - NON ABITATIVI</t>
  </si>
  <si>
    <t>Manutenzioni ordianrie e Pronto Intervento</t>
  </si>
  <si>
    <t>Nuove Costruzioni e Manutenzioni Straordinarie</t>
  </si>
  <si>
    <t>Amministrazioni Condominiali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</si>
</sst>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€-2]\ #,##0.00;[Red]\-[$€-2]\ #,##0.00"/>
    <numFmt numFmtId="165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164" fontId="0" fillId="0" borderId="0" xfId="0" applyNumberFormat="1"/>
    <xf numFmtId="43" fontId="0" fillId="0" borderId="0" xfId="1" applyFont="1"/>
    <xf numFmtId="0" fontId="14" fillId="0" borderId="0" xfId="0" applyFont="1"/>
    <xf numFmtId="0" fontId="18" fillId="0" borderId="0" xfId="0" applyFont="1"/>
    <xf numFmtId="0" fontId="19" fillId="0" borderId="0" xfId="0" applyFont="1"/>
    <xf numFmtId="165" fontId="0" fillId="0" borderId="0" xfId="0" applyNumberFormat="1"/>
    <xf numFmtId="43" fontId="16" fillId="0" borderId="0" xfId="1" applyFont="1"/>
    <xf numFmtId="43" fontId="1" fillId="0" borderId="0" xfId="1" applyFont="1"/>
    <xf numFmtId="43" fontId="16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center"/>
    </xf>
    <xf numFmtId="164" fontId="16" fillId="0" borderId="0" xfId="0" applyNumberFormat="1" applyFont="1"/>
    <xf numFmtId="43" fontId="1" fillId="0" borderId="10" xfId="1" applyFont="1" applyBorder="1"/>
    <xf numFmtId="43" fontId="1" fillId="0" borderId="11" xfId="1" applyFont="1" applyBorder="1"/>
    <xf numFmtId="43" fontId="16" fillId="0" borderId="10" xfId="1" applyFont="1" applyBorder="1"/>
    <xf numFmtId="43" fontId="16" fillId="0" borderId="11" xfId="1" applyFont="1" applyBorder="1"/>
    <xf numFmtId="43" fontId="20" fillId="0" borderId="10" xfId="1" applyFont="1" applyBorder="1"/>
    <xf numFmtId="43" fontId="20" fillId="0" borderId="0" xfId="1" applyFont="1"/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Ragioneria\BILANCI%20CONSUNTIVI\2021\Consuntivo-RendicontiConcessioni2.xls" TargetMode="External"/><Relationship Id="rId1" Type="http://schemas.openxmlformats.org/officeDocument/2006/relationships/externalLinkPath" Target="file:///U:\Ragioneria\BILANCI%20CONSUNTIVI\2021\Consuntivo-RendicontiConcessioni2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Ragioneria\BILANCI%20CONSUNTIVI\2021\Consuntivo-Personale.xls" TargetMode="External"/><Relationship Id="rId1" Type="http://schemas.openxmlformats.org/officeDocument/2006/relationships/externalLinkPath" Target="file:///U:\Ragioneria\BILANCI%20CONSUNTIVI\2021\Consuntivo-Personale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Ragioneria\BILANCI%20CONSUNTIVI\2022\Consuntivo-RendicontiConcessioni2.xls" TargetMode="External"/><Relationship Id="rId1" Type="http://schemas.openxmlformats.org/officeDocument/2006/relationships/externalLinkPath" Target="file:///U:\Ragioneria\BILANCI%20CONSUNTIVI\2022\Consuntivo-RendicontiConcessioni2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Ragioneria\BILANCI%20CONSUNTIVI\2022\Consuntivo-Personale.xls" TargetMode="External"/><Relationship Id="rId1" Type="http://schemas.openxmlformats.org/officeDocument/2006/relationships/externalLinkPath" Target="file:///U:\Ragioneria\BILANCI%20CONSUNTIVI\2022\Consuntivo-Personale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Ragioneria\BILANCI%20CONSUNTIVI\2023\Consuntivo-RendicontiConcessioni2.xls" TargetMode="External"/><Relationship Id="rId1" Type="http://schemas.openxmlformats.org/officeDocument/2006/relationships/externalLinkPath" Target="file:///U:\Ragioneria\BILANCI%20CONSUNTIVI\2023\Consuntivo-RendicontiConcessioni2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Ragioneria\BILANCI%20CONSUNTIVI\2023\Consuntivo-Personale.xls" TargetMode="External"/><Relationship Id="rId1" Type="http://schemas.openxmlformats.org/officeDocument/2006/relationships/externalLinkPath" Target="file:///U:\Ragioneria\BILANCI%20CONSUNTIVI\2023\Consuntivo-Person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stione Alloggi"/>
      <sheetName val="AlloggiALL"/>
      <sheetName val="Alloggi"/>
      <sheetName val="Manutenzioni"/>
      <sheetName val="Altre Spese"/>
      <sheetName val="Utenze"/>
      <sheetName val="Spese condominiali"/>
      <sheetName val="CondStraord"/>
      <sheetName val="Bollo Virtuale"/>
      <sheetName val="ImposteTasse"/>
      <sheetName val="Assicurazioni"/>
      <sheetName val="CanoniCTR7089"/>
      <sheetName val="OneriCTR7089"/>
      <sheetName val="Morosità"/>
      <sheetName val="Reinvestimento"/>
      <sheetName val="Controlli"/>
      <sheetName val="BELLARIA"/>
      <sheetName val="CATTOLICA"/>
      <sheetName val="CORIANO"/>
      <sheetName val="GEMMANO"/>
      <sheetName val="MISANO"/>
      <sheetName val="MONDAINO"/>
      <sheetName val="MONTECOLOMBO"/>
      <sheetName val="MONTEFIORE"/>
      <sheetName val="MONTEGRIDOLFO"/>
      <sheetName val="MONTESCUDO"/>
      <sheetName val="MORCIANO"/>
      <sheetName val="POGGIOTORRIANA"/>
      <sheetName val="RICCIONE"/>
      <sheetName val="RIMINI"/>
      <sheetName val="RIMINI ERP"/>
      <sheetName val="RIMINI PA"/>
      <sheetName val="SANGIOVANNI"/>
      <sheetName val="SALUDECIO"/>
      <sheetName val="SANCLEMENTE"/>
      <sheetName val="SANTARCANGELO"/>
      <sheetName val="TORRIANA"/>
      <sheetName val="VERUCCHIO"/>
      <sheetName val="CASTELDELCI"/>
      <sheetName val="MAIOLO"/>
      <sheetName val="NOVAFELTRIA"/>
      <sheetName val="PENNABILLI"/>
      <sheetName val="SAN LEO"/>
      <sheetName val="SANT'AGATA FELTRIA"/>
      <sheetName val="TALAMELLO"/>
    </sheetNames>
    <sheetDataSet>
      <sheetData sheetId="0">
        <row r="31">
          <cell r="N31">
            <v>968363.32999999984</v>
          </cell>
        </row>
      </sheetData>
      <sheetData sheetId="1">
        <row r="37">
          <cell r="B37">
            <v>52</v>
          </cell>
          <cell r="C37">
            <v>27</v>
          </cell>
          <cell r="D37">
            <v>16</v>
          </cell>
          <cell r="E37">
            <v>3</v>
          </cell>
          <cell r="F37">
            <v>36</v>
          </cell>
          <cell r="G37">
            <v>6</v>
          </cell>
          <cell r="H37">
            <v>1954</v>
          </cell>
          <cell r="I37">
            <v>343</v>
          </cell>
          <cell r="J37">
            <v>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rsonale"/>
      <sheetName val="RiepPers"/>
      <sheetName val="buoni pasto"/>
      <sheetName val="inps"/>
      <sheetName val="Ferie non godute 2021"/>
      <sheetName val="storno ferie non godute 2020"/>
      <sheetName val="competenza 2021"/>
      <sheetName val="TFR  31-12-21"/>
      <sheetName val="quadrature"/>
    </sheetNames>
    <sheetDataSet>
      <sheetData sheetId="0"/>
      <sheetData sheetId="1">
        <row r="17">
          <cell r="B17">
            <v>481609.05041212513</v>
          </cell>
        </row>
        <row r="18">
          <cell r="B18">
            <v>266866.32341760525</v>
          </cell>
        </row>
        <row r="19">
          <cell r="B19">
            <v>92890.435889737942</v>
          </cell>
        </row>
        <row r="20">
          <cell r="B20">
            <v>163931.94233989215</v>
          </cell>
        </row>
        <row r="21">
          <cell r="B21">
            <v>228124.30756232768</v>
          </cell>
        </row>
        <row r="22">
          <cell r="B22">
            <v>206749.55037831183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stione Alloggi"/>
      <sheetName val="AlloggiALL"/>
      <sheetName val="Alloggi"/>
      <sheetName val="Manutenzioni"/>
      <sheetName val="Altre Spese"/>
      <sheetName val="Utenze"/>
      <sheetName val="Spese condominiali"/>
      <sheetName val="CondStraord"/>
      <sheetName val="Bollo Virtuale"/>
      <sheetName val="ImposteTasse"/>
      <sheetName val="Assicurazioni"/>
      <sheetName val="CanoniCTR7089"/>
      <sheetName val="OneriCTR7089"/>
      <sheetName val="Morosità"/>
      <sheetName val="Reinvestimento"/>
      <sheetName val="Controlli"/>
      <sheetName val="BELLARIA"/>
      <sheetName val="CATTOLICA"/>
      <sheetName val="CORIANO"/>
      <sheetName val="GEMMANO"/>
      <sheetName val="MISANO"/>
      <sheetName val="MONDAINO"/>
      <sheetName val="MONTECOLOMBO"/>
      <sheetName val="MONTEFIORE"/>
      <sheetName val="MONTEGRIDOLFO"/>
      <sheetName val="MONTESCUDO"/>
      <sheetName val="MORCIANO"/>
      <sheetName val="POGGIOTORRIANA"/>
      <sheetName val="RICCIONE"/>
      <sheetName val="RIMINI"/>
      <sheetName val="RIMINI ERP"/>
      <sheetName val="RIMINI PA"/>
      <sheetName val="SANGIOVANNI"/>
      <sheetName val="SALUDECIO"/>
      <sheetName val="SANCLEMENTE"/>
      <sheetName val="SANTARCANGELO"/>
      <sheetName val="TORRIANA"/>
      <sheetName val="VERUCCHIO"/>
      <sheetName val="CASTELDELCI"/>
      <sheetName val="MAIOLO"/>
      <sheetName val="NOVAFELTRIA"/>
      <sheetName val="PENNABILLI"/>
      <sheetName val="SAN LEO"/>
      <sheetName val="SANT'AGATA FELTRIA"/>
      <sheetName val="TALAMELLO"/>
    </sheetNames>
    <sheetDataSet>
      <sheetData sheetId="0">
        <row r="31">
          <cell r="N31">
            <v>927049.91</v>
          </cell>
        </row>
      </sheetData>
      <sheetData sheetId="1">
        <row r="37">
          <cell r="B37">
            <v>52</v>
          </cell>
          <cell r="C37">
            <v>27</v>
          </cell>
          <cell r="D37">
            <v>16</v>
          </cell>
          <cell r="E37">
            <v>3</v>
          </cell>
          <cell r="F37">
            <v>36</v>
          </cell>
          <cell r="G37">
            <v>6</v>
          </cell>
          <cell r="H37">
            <v>1956</v>
          </cell>
          <cell r="I37">
            <v>342</v>
          </cell>
          <cell r="J37">
            <v>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rsonale"/>
      <sheetName val="RiepPers"/>
      <sheetName val="buoni pasto"/>
      <sheetName val="inps"/>
      <sheetName val="Ferie non godute 2022"/>
      <sheetName val="storno ferie non godute 2021"/>
      <sheetName val="competenza 2022"/>
      <sheetName val="TFR  31-12-22"/>
      <sheetName val="quadrature"/>
      <sheetName val="straordinario"/>
    </sheetNames>
    <sheetDataSet>
      <sheetData sheetId="0"/>
      <sheetData sheetId="1">
        <row r="17">
          <cell r="B17">
            <v>526600.0544298921</v>
          </cell>
        </row>
        <row r="18">
          <cell r="B18">
            <v>254357.90312914705</v>
          </cell>
        </row>
        <row r="19">
          <cell r="B19">
            <v>98891.006927954993</v>
          </cell>
        </row>
        <row r="20">
          <cell r="B20">
            <v>181765.84741256811</v>
          </cell>
        </row>
        <row r="21">
          <cell r="B21">
            <v>467008.06810043787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stione Alloggi"/>
      <sheetName val="AlloggiALL"/>
      <sheetName val="Alloggi"/>
      <sheetName val="Manutenzioni"/>
      <sheetName val="Altre Spese"/>
      <sheetName val="Utenze"/>
      <sheetName val="Spese condominiali"/>
      <sheetName val="CondStraord"/>
      <sheetName val="Bollo Virtuale"/>
      <sheetName val="ImposteTasse"/>
      <sheetName val="Assicurazioni"/>
      <sheetName val="CanoniCTR7089"/>
      <sheetName val="OneriCTR7089"/>
      <sheetName val="Morosità"/>
      <sheetName val="Reinvestimento"/>
      <sheetName val="Controlli"/>
      <sheetName val="BELLARIA"/>
      <sheetName val="CATTOLICA"/>
      <sheetName val="CORIANO"/>
      <sheetName val="GEMMANO"/>
      <sheetName val="MISANO"/>
      <sheetName val="MONDAINO"/>
      <sheetName val="MONTECOLOMBO"/>
      <sheetName val="MONTEFIORE"/>
      <sheetName val="MONTEGRIDOLFO"/>
      <sheetName val="MONTESCUDO"/>
      <sheetName val="MORCIANO"/>
      <sheetName val="POGGIOTORRIANA"/>
      <sheetName val="RICCIONE"/>
      <sheetName val="RIMINI"/>
      <sheetName val="RIMINI ERP"/>
      <sheetName val="RIMINI PA"/>
      <sheetName val="SANGIOVANNI"/>
      <sheetName val="SALUDECIO"/>
      <sheetName val="SANCLEMENTE"/>
      <sheetName val="SANTARCANGELO"/>
      <sheetName val="TORRIANA"/>
      <sheetName val="VERUCCHIO"/>
      <sheetName val="CASTELDELCI"/>
      <sheetName val="MAIOLO"/>
      <sheetName val="NOVAFELTRIA"/>
      <sheetName val="PENNABILLI"/>
      <sheetName val="SAN LEO"/>
      <sheetName val="SANT'AGATA FELTRIA"/>
      <sheetName val="SASSOFELTRIO"/>
    </sheetNames>
    <sheetDataSet>
      <sheetData sheetId="0">
        <row r="31">
          <cell r="N31">
            <v>1184706.0599999998</v>
          </cell>
        </row>
      </sheetData>
      <sheetData sheetId="1">
        <row r="38">
          <cell r="B38">
            <v>52</v>
          </cell>
          <cell r="C38">
            <v>28</v>
          </cell>
          <cell r="D38">
            <v>16</v>
          </cell>
          <cell r="E38">
            <v>3</v>
          </cell>
          <cell r="F38">
            <v>36</v>
          </cell>
          <cell r="G38">
            <v>6</v>
          </cell>
          <cell r="H38">
            <v>1961</v>
          </cell>
          <cell r="J38">
            <v>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rsonale"/>
      <sheetName val="RiepPers"/>
      <sheetName val="buoni pasto"/>
      <sheetName val="inps"/>
      <sheetName val="Ferie non godute 2023"/>
      <sheetName val="storno ferie non godute 2022"/>
      <sheetName val="competenza 2023"/>
      <sheetName val="TFR  31-12-23 "/>
      <sheetName val="quadrature"/>
      <sheetName val="straordinario"/>
    </sheetNames>
    <sheetDataSet>
      <sheetData sheetId="0"/>
      <sheetData sheetId="1">
        <row r="17">
          <cell r="B17">
            <v>510050.29088016803</v>
          </cell>
        </row>
        <row r="18">
          <cell r="B18">
            <v>247462.95541231363</v>
          </cell>
        </row>
        <row r="19">
          <cell r="B19">
            <v>95437.049884996726</v>
          </cell>
        </row>
        <row r="20">
          <cell r="B20">
            <v>179940.24831820035</v>
          </cell>
        </row>
        <row r="21">
          <cell r="B21">
            <v>488804.3855043212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opLeftCell="A6" zoomScaleNormal="100" workbookViewId="0">
      <selection activeCell="B41" sqref="B41"/>
    </sheetView>
  </sheetViews>
  <sheetFormatPr defaultRowHeight="15" x14ac:dyDescent="0.25"/>
  <cols>
    <col min="1" max="1" width="52.42578125" customWidth="1"/>
    <col min="2" max="2" width="18.85546875" bestFit="1" customWidth="1"/>
    <col min="3" max="5" width="18.85546875" customWidth="1"/>
    <col min="6" max="6" width="25.140625" customWidth="1"/>
    <col min="7" max="7" width="18.85546875" customWidth="1"/>
    <col min="8" max="8" width="11.5703125" bestFit="1" customWidth="1"/>
  </cols>
  <sheetData>
    <row r="1" spans="1:8" x14ac:dyDescent="0.25">
      <c r="A1" s="10" t="s">
        <v>0</v>
      </c>
      <c r="B1" s="11" t="s">
        <v>22</v>
      </c>
      <c r="C1" s="11" t="s">
        <v>23</v>
      </c>
      <c r="D1" s="11" t="s">
        <v>24</v>
      </c>
      <c r="E1" s="11" t="s">
        <v>46</v>
      </c>
      <c r="F1" s="11" t="s">
        <v>45</v>
      </c>
      <c r="G1" s="11" t="s">
        <v>1</v>
      </c>
    </row>
    <row r="2" spans="1:8" x14ac:dyDescent="0.25">
      <c r="A2" t="s">
        <v>14</v>
      </c>
      <c r="B2" s="1">
        <f>(B20+B21)/B17*B14</f>
        <v>621814.70852957538</v>
      </c>
      <c r="C2" s="1">
        <f>$C$29/$B$11*B2</f>
        <v>150754.32268286729</v>
      </c>
      <c r="D2" s="1">
        <f>B33</f>
        <v>3471883.9499999997</v>
      </c>
      <c r="E2" s="1">
        <v>0</v>
      </c>
      <c r="F2" s="1">
        <f>(($C$46+$B$50)/($C$11+$D$11+$E$11)*(C2+D2+E2))</f>
        <v>467353.7035117771</v>
      </c>
      <c r="G2" s="1">
        <f>SUM(B2:F2)</f>
        <v>4711806.6847242201</v>
      </c>
      <c r="H2" s="1"/>
    </row>
    <row r="3" spans="1:8" x14ac:dyDescent="0.25">
      <c r="A3" t="s">
        <v>21</v>
      </c>
      <c r="B3" s="1">
        <f>(B24+B25)/B17*B14</f>
        <v>438176.57571524149</v>
      </c>
      <c r="C3" s="1">
        <f>$C$29/$B$11*B3</f>
        <v>106232.6316526935</v>
      </c>
      <c r="D3" s="1">
        <f>B34</f>
        <v>1042753.39</v>
      </c>
      <c r="E3" s="1">
        <v>0</v>
      </c>
      <c r="F3" s="1">
        <f>(($C$46+$B$50)/($C$11+$D$11+$E$11)*(C3+D3+E3))</f>
        <v>148229.77953715716</v>
      </c>
      <c r="G3" s="1">
        <f t="shared" ref="G3:G11" si="0">SUM(B3:F3)</f>
        <v>1735392.376905092</v>
      </c>
    </row>
    <row r="4" spans="1:8" x14ac:dyDescent="0.25">
      <c r="A4" t="s">
        <v>15</v>
      </c>
      <c r="B4" s="1">
        <f>B2+B3</f>
        <v>1059991.2842448168</v>
      </c>
      <c r="C4" s="1">
        <f t="shared" ref="C4:F4" si="1">C2+C3</f>
        <v>256986.95433556079</v>
      </c>
      <c r="D4" s="1">
        <f t="shared" si="1"/>
        <v>4514637.34</v>
      </c>
      <c r="E4" s="1">
        <f t="shared" si="1"/>
        <v>0</v>
      </c>
      <c r="F4" s="1">
        <f t="shared" si="1"/>
        <v>615583.48304893426</v>
      </c>
      <c r="G4" s="1">
        <f t="shared" si="0"/>
        <v>6447199.0616293121</v>
      </c>
    </row>
    <row r="5" spans="1:8" x14ac:dyDescent="0.25">
      <c r="A5" t="s">
        <v>2</v>
      </c>
      <c r="B5" s="1">
        <f>(B20+B21+B24+B25)/B17*B15</f>
        <v>71284.730217816978</v>
      </c>
      <c r="C5" s="1">
        <f>$C$29/$B$11*B5</f>
        <v>17282.449376327011</v>
      </c>
      <c r="D5" s="1">
        <f>B30+B31+B32</f>
        <v>245087.21</v>
      </c>
      <c r="E5" s="1">
        <f>B40</f>
        <v>69527.89</v>
      </c>
      <c r="F5" s="1">
        <f>(($C$46+$B$50)/($C$11+$D$11+$E$11)*(C5+D5+E5))</f>
        <v>42817.84081429548</v>
      </c>
      <c r="G5" s="1">
        <f t="shared" si="0"/>
        <v>446000.12040843943</v>
      </c>
    </row>
    <row r="6" spans="1:8" x14ac:dyDescent="0.25">
      <c r="A6" t="s">
        <v>16</v>
      </c>
      <c r="B6" s="1">
        <f>(B20+B21+B24+B25)/B17*B16</f>
        <v>26151.794517779006</v>
      </c>
      <c r="C6" s="1">
        <f>$C$29/$B$11*B6</f>
        <v>6340.3068717886063</v>
      </c>
      <c r="D6" s="1">
        <v>0</v>
      </c>
      <c r="E6" s="1">
        <f>B41</f>
        <v>100434.2</v>
      </c>
      <c r="F6" s="1">
        <f>(($C$46+$B$50)/($C$11+$D$11+$E$11)*(C6+D6+E6))</f>
        <v>13774.894833818969</v>
      </c>
      <c r="G6" s="1">
        <f t="shared" si="0"/>
        <v>146701.19622338659</v>
      </c>
    </row>
    <row r="7" spans="1:8" x14ac:dyDescent="0.25">
      <c r="A7" t="s">
        <v>17</v>
      </c>
      <c r="B7" s="1">
        <v>0</v>
      </c>
      <c r="C7" s="1">
        <f>$C$29/$B$11*B7</f>
        <v>0</v>
      </c>
      <c r="D7" s="1">
        <f>C37</f>
        <v>94949.43</v>
      </c>
      <c r="E7" s="1">
        <v>0</v>
      </c>
      <c r="F7" s="1">
        <f>(($C$46+$B$50)/($C$11+$D$11+$E$11)*(C7+D7+E7))</f>
        <v>12249.351002403244</v>
      </c>
      <c r="G7" s="1">
        <f t="shared" si="0"/>
        <v>107198.78100240324</v>
      </c>
    </row>
    <row r="8" spans="1:8" x14ac:dyDescent="0.25">
      <c r="A8" t="s">
        <v>18</v>
      </c>
      <c r="B8" s="1">
        <f>B22</f>
        <v>84128.270792211319</v>
      </c>
      <c r="C8" s="1">
        <f>$C$29/$B$11*B8</f>
        <v>20396.269672925304</v>
      </c>
      <c r="D8" s="1">
        <f>C38</f>
        <v>36554.269999999997</v>
      </c>
      <c r="E8" s="1">
        <v>0</v>
      </c>
      <c r="F8" s="1">
        <f>(($C$46+$B$50)/($C$11+$D$11+$E$11)*(C8+D8+E8))</f>
        <v>7347.144161159822</v>
      </c>
      <c r="G8" s="1">
        <f t="shared" si="0"/>
        <v>148425.95462629644</v>
      </c>
    </row>
    <row r="9" spans="1:8" x14ac:dyDescent="0.25">
      <c r="A9" t="s">
        <v>19</v>
      </c>
      <c r="B9" s="1">
        <f>B23</f>
        <v>180053.36022737584</v>
      </c>
      <c r="C9" s="1">
        <f>$C$29/$B$11*B9</f>
        <v>43652.589743398326</v>
      </c>
      <c r="D9" s="1">
        <v>0</v>
      </c>
      <c r="E9" s="1">
        <v>0</v>
      </c>
      <c r="F9" s="1">
        <f>(($C$46+$B$50)/($C$11+$D$11+$E$11)*(C9+D9+E9))</f>
        <v>5631.5861393880286</v>
      </c>
      <c r="G9" s="1">
        <f t="shared" si="0"/>
        <v>229337.53611016221</v>
      </c>
    </row>
    <row r="10" spans="1:8" x14ac:dyDescent="0.25">
      <c r="A10" t="s">
        <v>20</v>
      </c>
      <c r="B10" s="1">
        <f>B5+B6+B7+B8+B9</f>
        <v>361618.15575518319</v>
      </c>
      <c r="C10" s="1">
        <f t="shared" ref="C10:F10" si="2">C5+C6+C7+C8+C9</f>
        <v>87671.615664439247</v>
      </c>
      <c r="D10" s="1">
        <f t="shared" si="2"/>
        <v>376590.91000000003</v>
      </c>
      <c r="E10" s="1">
        <f t="shared" si="2"/>
        <v>169962.09</v>
      </c>
      <c r="F10" s="1">
        <f t="shared" si="2"/>
        <v>81820.816951065557</v>
      </c>
      <c r="G10" s="1">
        <f t="shared" si="0"/>
        <v>1077663.588370688</v>
      </c>
    </row>
    <row r="11" spans="1:8" x14ac:dyDescent="0.25">
      <c r="A11" s="10" t="s">
        <v>3</v>
      </c>
      <c r="B11" s="12">
        <f>B10+B4</f>
        <v>1421609.44</v>
      </c>
      <c r="C11" s="12">
        <f t="shared" ref="C11:F11" si="3">C10+C4</f>
        <v>344658.57000000007</v>
      </c>
      <c r="D11" s="12">
        <f t="shared" si="3"/>
        <v>4891228.25</v>
      </c>
      <c r="E11" s="12">
        <f t="shared" si="3"/>
        <v>169962.09</v>
      </c>
      <c r="F11" s="12">
        <f t="shared" si="3"/>
        <v>697404.29999999981</v>
      </c>
      <c r="G11" s="12">
        <f t="shared" si="0"/>
        <v>7524862.6499999994</v>
      </c>
    </row>
    <row r="12" spans="1:8" x14ac:dyDescent="0.25">
      <c r="G12" s="1" t="b">
        <f>G11=B51</f>
        <v>1</v>
      </c>
    </row>
    <row r="14" spans="1:8" x14ac:dyDescent="0.25">
      <c r="A14" t="s">
        <v>12</v>
      </c>
      <c r="B14" s="2">
        <v>2513</v>
      </c>
    </row>
    <row r="15" spans="1:8" x14ac:dyDescent="0.25">
      <c r="A15" t="s">
        <v>11</v>
      </c>
      <c r="B15" s="2">
        <v>169</v>
      </c>
    </row>
    <row r="16" spans="1:8" x14ac:dyDescent="0.25">
      <c r="A16" t="s">
        <v>13</v>
      </c>
      <c r="B16" s="2">
        <v>62</v>
      </c>
    </row>
    <row r="17" spans="1:3" x14ac:dyDescent="0.25">
      <c r="A17" t="s">
        <v>1</v>
      </c>
      <c r="B17" s="2">
        <f>SUM(B14:B16)</f>
        <v>2744</v>
      </c>
    </row>
    <row r="18" spans="1:3" x14ac:dyDescent="0.25">
      <c r="B18" s="2"/>
    </row>
    <row r="19" spans="1:3" x14ac:dyDescent="0.25">
      <c r="A19" t="s">
        <v>25</v>
      </c>
      <c r="B19" s="2"/>
    </row>
    <row r="20" spans="1:3" x14ac:dyDescent="0.25">
      <c r="A20" t="s">
        <v>4</v>
      </c>
      <c r="B20" s="2">
        <v>384264.87506166368</v>
      </c>
    </row>
    <row r="21" spans="1:3" x14ac:dyDescent="0.25">
      <c r="A21" t="s">
        <v>5</v>
      </c>
      <c r="B21" s="2">
        <v>294708.28856951609</v>
      </c>
    </row>
    <row r="22" spans="1:3" x14ac:dyDescent="0.25">
      <c r="A22" t="s">
        <v>6</v>
      </c>
      <c r="B22" s="2">
        <v>84128.270792211319</v>
      </c>
    </row>
    <row r="23" spans="1:3" x14ac:dyDescent="0.25">
      <c r="A23" t="s">
        <v>7</v>
      </c>
      <c r="B23" s="2">
        <v>180053.36022737584</v>
      </c>
    </row>
    <row r="24" spans="1:3" x14ac:dyDescent="0.25">
      <c r="A24" t="s">
        <v>8</v>
      </c>
      <c r="B24" s="2">
        <v>303342.66472544661</v>
      </c>
    </row>
    <row r="25" spans="1:3" x14ac:dyDescent="0.25">
      <c r="A25" t="s">
        <v>9</v>
      </c>
      <c r="B25" s="2">
        <v>175111.98062378645</v>
      </c>
    </row>
    <row r="26" spans="1:3" x14ac:dyDescent="0.25">
      <c r="A26" t="s">
        <v>10</v>
      </c>
      <c r="B26" s="7">
        <f>SUM(B20:B25)</f>
        <v>1421609.44</v>
      </c>
      <c r="C26" s="2"/>
    </row>
    <row r="27" spans="1:3" x14ac:dyDescent="0.25">
      <c r="B27" s="2"/>
      <c r="C27" s="2"/>
    </row>
    <row r="28" spans="1:3" x14ac:dyDescent="0.25">
      <c r="A28" s="3" t="s">
        <v>26</v>
      </c>
      <c r="B28" s="8">
        <v>326200.51</v>
      </c>
      <c r="C28" s="2"/>
    </row>
    <row r="29" spans="1:3" x14ac:dyDescent="0.25">
      <c r="A29" s="3" t="s">
        <v>29</v>
      </c>
      <c r="B29" s="13">
        <v>18458.060000000001</v>
      </c>
      <c r="C29" s="15">
        <f>B28+B29</f>
        <v>344658.57</v>
      </c>
    </row>
    <row r="30" spans="1:3" x14ac:dyDescent="0.25">
      <c r="A30" s="4" t="s">
        <v>37</v>
      </c>
      <c r="B30" s="8">
        <v>123244.21</v>
      </c>
      <c r="C30" s="2"/>
    </row>
    <row r="31" spans="1:3" x14ac:dyDescent="0.25">
      <c r="A31" s="4" t="s">
        <v>38</v>
      </c>
      <c r="B31" s="8">
        <v>111494.73</v>
      </c>
      <c r="C31" s="2"/>
    </row>
    <row r="32" spans="1:3" x14ac:dyDescent="0.25">
      <c r="A32" s="4" t="s">
        <v>39</v>
      </c>
      <c r="B32" s="8">
        <v>10348.27</v>
      </c>
      <c r="C32" s="2"/>
    </row>
    <row r="33" spans="1:3" x14ac:dyDescent="0.25">
      <c r="A33" s="4" t="s">
        <v>43</v>
      </c>
      <c r="B33" s="8">
        <f>4514637.34-B34</f>
        <v>3471883.9499999997</v>
      </c>
      <c r="C33" s="7"/>
    </row>
    <row r="34" spans="1:3" x14ac:dyDescent="0.25">
      <c r="A34" s="4" t="s">
        <v>44</v>
      </c>
      <c r="B34" s="13">
        <v>1042753.39</v>
      </c>
      <c r="C34" s="15">
        <f>B30+B31+B32+B33+B34</f>
        <v>4759724.55</v>
      </c>
    </row>
    <row r="35" spans="1:3" x14ac:dyDescent="0.25">
      <c r="A35" s="3" t="s">
        <v>27</v>
      </c>
      <c r="B35" s="8">
        <v>13851</v>
      </c>
      <c r="C35" s="2"/>
    </row>
    <row r="36" spans="1:3" x14ac:dyDescent="0.25">
      <c r="A36" s="3" t="s">
        <v>35</v>
      </c>
      <c r="B36" s="8">
        <v>75554.429999999993</v>
      </c>
      <c r="C36" s="2"/>
    </row>
    <row r="37" spans="1:3" x14ac:dyDescent="0.25">
      <c r="A37" s="3" t="s">
        <v>36</v>
      </c>
      <c r="B37" s="13">
        <v>5544</v>
      </c>
      <c r="C37" s="15">
        <f>B35+B36+B37</f>
        <v>94949.43</v>
      </c>
    </row>
    <row r="38" spans="1:3" x14ac:dyDescent="0.25">
      <c r="A38" s="4" t="s">
        <v>28</v>
      </c>
      <c r="B38" s="14">
        <v>36554.269999999997</v>
      </c>
      <c r="C38" s="16">
        <f>B38</f>
        <v>36554.269999999997</v>
      </c>
    </row>
    <row r="39" spans="1:3" x14ac:dyDescent="0.25">
      <c r="A39" s="4"/>
      <c r="B39" s="8"/>
      <c r="C39" s="7"/>
    </row>
    <row r="40" spans="1:3" x14ac:dyDescent="0.25">
      <c r="A40" s="3" t="s">
        <v>48</v>
      </c>
      <c r="B40" s="8">
        <f>169962.09-B41</f>
        <v>69527.89</v>
      </c>
      <c r="C40" s="2"/>
    </row>
    <row r="41" spans="1:3" x14ac:dyDescent="0.25">
      <c r="A41" s="3" t="s">
        <v>49</v>
      </c>
      <c r="B41" s="13">
        <f>59022.5+41411.7</f>
        <v>100434.2</v>
      </c>
      <c r="C41" s="15">
        <f>B40+B41</f>
        <v>169962.09</v>
      </c>
    </row>
    <row r="42" spans="1:3" x14ac:dyDescent="0.25">
      <c r="A42" s="4" t="s">
        <v>30</v>
      </c>
      <c r="B42" s="8">
        <v>53585.7</v>
      </c>
      <c r="C42" s="2"/>
    </row>
    <row r="43" spans="1:3" x14ac:dyDescent="0.25">
      <c r="A43" s="4" t="s">
        <v>31</v>
      </c>
      <c r="B43" s="8">
        <v>2527.88</v>
      </c>
      <c r="C43" s="2"/>
    </row>
    <row r="44" spans="1:3" x14ac:dyDescent="0.25">
      <c r="A44" s="4" t="s">
        <v>32</v>
      </c>
      <c r="B44" s="8">
        <v>2816.14</v>
      </c>
      <c r="C44" s="2"/>
    </row>
    <row r="45" spans="1:3" x14ac:dyDescent="0.25">
      <c r="A45" s="4" t="s">
        <v>33</v>
      </c>
      <c r="B45" s="8">
        <v>15731.74</v>
      </c>
      <c r="C45" s="2"/>
    </row>
    <row r="46" spans="1:3" x14ac:dyDescent="0.25">
      <c r="A46" s="4" t="s">
        <v>34</v>
      </c>
      <c r="B46" s="13">
        <v>596159.12</v>
      </c>
      <c r="C46" s="15">
        <f>SUM(B42:B46)</f>
        <v>670820.57999999996</v>
      </c>
    </row>
    <row r="47" spans="1:3" x14ac:dyDescent="0.25">
      <c r="A47" s="4" t="s">
        <v>1</v>
      </c>
      <c r="B47" s="9">
        <f>SUM(B28:B46)</f>
        <v>6076669.4899999984</v>
      </c>
      <c r="C47" s="9">
        <f>SUM(C28:C46)</f>
        <v>6076669.4899999993</v>
      </c>
    </row>
    <row r="48" spans="1:3" x14ac:dyDescent="0.25">
      <c r="C48" s="2"/>
    </row>
    <row r="49" spans="1:3" x14ac:dyDescent="0.25">
      <c r="A49" s="5" t="s">
        <v>41</v>
      </c>
      <c r="B49" s="8">
        <f>B47+B26</f>
        <v>7498278.9299999978</v>
      </c>
      <c r="C49" s="2"/>
    </row>
    <row r="50" spans="1:3" x14ac:dyDescent="0.25">
      <c r="A50" s="5" t="s">
        <v>40</v>
      </c>
      <c r="B50" s="8">
        <f>24253.31+2330.41</f>
        <v>26583.72</v>
      </c>
      <c r="C50" s="2"/>
    </row>
    <row r="51" spans="1:3" x14ac:dyDescent="0.25">
      <c r="A51" s="5" t="s">
        <v>42</v>
      </c>
      <c r="B51" s="8">
        <f>B49+B50</f>
        <v>7524862.6499999976</v>
      </c>
    </row>
    <row r="52" spans="1:3" x14ac:dyDescent="0.25">
      <c r="B52" s="8"/>
    </row>
  </sheetData>
  <pageMargins left="0.7" right="0.7" top="0.75" bottom="0.75" header="0.3" footer="0.3"/>
  <pageSetup paperSize="9" scale="7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27FCF-9787-47D0-BA6D-0C8473935671}">
  <dimension ref="A1:H52"/>
  <sheetViews>
    <sheetView zoomScaleNormal="100" workbookViewId="0">
      <selection activeCell="E25" sqref="E25"/>
    </sheetView>
  </sheetViews>
  <sheetFormatPr defaultRowHeight="15" x14ac:dyDescent="0.25"/>
  <cols>
    <col min="1" max="1" width="52.42578125" customWidth="1"/>
    <col min="2" max="2" width="18.85546875" bestFit="1" customWidth="1"/>
    <col min="3" max="5" width="18.85546875" customWidth="1"/>
    <col min="6" max="6" width="25.140625" customWidth="1"/>
    <col min="7" max="7" width="18.85546875" customWidth="1"/>
    <col min="8" max="8" width="11.5703125" bestFit="1" customWidth="1"/>
  </cols>
  <sheetData>
    <row r="1" spans="1:8" x14ac:dyDescent="0.25">
      <c r="A1" s="10" t="s">
        <v>0</v>
      </c>
      <c r="B1" s="11" t="s">
        <v>22</v>
      </c>
      <c r="C1" s="11" t="s">
        <v>23</v>
      </c>
      <c r="D1" s="11" t="s">
        <v>24</v>
      </c>
      <c r="E1" s="11" t="s">
        <v>46</v>
      </c>
      <c r="F1" s="11" t="s">
        <v>45</v>
      </c>
      <c r="G1" s="11" t="s">
        <v>1</v>
      </c>
    </row>
    <row r="2" spans="1:8" x14ac:dyDescent="0.25">
      <c r="A2" t="s">
        <v>14</v>
      </c>
      <c r="B2" s="1">
        <f>(B20+B21)/B17*B14</f>
        <v>678635.28104129143</v>
      </c>
      <c r="C2" s="1">
        <f>$C$29/$B$11*B2</f>
        <v>150466.05918502685</v>
      </c>
      <c r="D2" s="1">
        <f>B33</f>
        <v>3691825.75</v>
      </c>
      <c r="E2" s="1">
        <v>0</v>
      </c>
      <c r="F2" s="1">
        <f>(($C$46+$B$50)/($C$11+$D$11+$E$11)*(C2+D2+E2))</f>
        <v>386927.07512741809</v>
      </c>
      <c r="G2" s="1">
        <f>SUM(B2:F2)</f>
        <v>4907854.1653537368</v>
      </c>
      <c r="H2" s="1"/>
    </row>
    <row r="3" spans="1:8" x14ac:dyDescent="0.25">
      <c r="A3" t="s">
        <v>21</v>
      </c>
      <c r="B3" s="1">
        <f>(B24+B25)/B17*B14</f>
        <v>441075.41847130976</v>
      </c>
      <c r="C3" s="1">
        <f>$C$29/$B$11*B3</f>
        <v>97794.620873426873</v>
      </c>
      <c r="D3" s="1">
        <f>B34</f>
        <v>1087946.29</v>
      </c>
      <c r="E3" s="1">
        <v>0</v>
      </c>
      <c r="F3" s="1">
        <f>(($C$46+$B$50)/($C$11+$D$11+$E$11)*(C3+D3+E3))</f>
        <v>119406.66802204406</v>
      </c>
      <c r="G3" s="1">
        <f t="shared" ref="G3:G11" si="0">SUM(B3:F3)</f>
        <v>1746222.9973667806</v>
      </c>
    </row>
    <row r="4" spans="1:8" x14ac:dyDescent="0.25">
      <c r="A4" t="s">
        <v>15</v>
      </c>
      <c r="B4" s="1">
        <f>B2+B3</f>
        <v>1119710.6995126011</v>
      </c>
      <c r="C4" s="1">
        <f t="shared" ref="C4:F4" si="1">C2+C3</f>
        <v>248260.68005845373</v>
      </c>
      <c r="D4" s="1">
        <f t="shared" si="1"/>
        <v>4779772.04</v>
      </c>
      <c r="E4" s="1">
        <f t="shared" si="1"/>
        <v>0</v>
      </c>
      <c r="F4" s="1">
        <f t="shared" si="1"/>
        <v>506333.74314946216</v>
      </c>
      <c r="G4" s="1">
        <f t="shared" si="0"/>
        <v>6654077.1627205173</v>
      </c>
    </row>
    <row r="5" spans="1:8" x14ac:dyDescent="0.25">
      <c r="A5" t="s">
        <v>2</v>
      </c>
      <c r="B5" s="1">
        <f>(B20+B21+B24+B25)/B17*B15</f>
        <v>51644.708208135882</v>
      </c>
      <c r="C5" s="1">
        <f>$C$29/$B$11*B5</f>
        <v>11450.592002696078</v>
      </c>
      <c r="D5" s="1">
        <f>B30+B31+B32</f>
        <v>240043.08</v>
      </c>
      <c r="E5" s="1">
        <f>B40</f>
        <v>66539.23</v>
      </c>
      <c r="F5" s="1">
        <f>(($C$46+$B$50)/($C$11+$D$11+$E$11)*(C5+D5+E5))</f>
        <v>32026.599404038705</v>
      </c>
      <c r="G5" s="1">
        <f t="shared" si="0"/>
        <v>401704.2096148706</v>
      </c>
    </row>
    <row r="6" spans="1:8" x14ac:dyDescent="0.25">
      <c r="A6" t="s">
        <v>16</v>
      </c>
      <c r="B6" s="1">
        <f>(B20+B21+B24+B25)/B17*B16</f>
        <v>25822.354104067941</v>
      </c>
      <c r="C6" s="1">
        <f>$C$29/$B$11*B6</f>
        <v>5725.2960013480388</v>
      </c>
      <c r="D6" s="1">
        <v>0</v>
      </c>
      <c r="E6" s="1">
        <f>B41</f>
        <v>100076.95</v>
      </c>
      <c r="F6" s="1">
        <f>(($C$46+$B$50)/($C$11+$D$11+$E$11)*(C6+D6+E6))</f>
        <v>10654.514446131123</v>
      </c>
      <c r="G6" s="1">
        <f t="shared" si="0"/>
        <v>142279.1145515471</v>
      </c>
    </row>
    <row r="7" spans="1:8" x14ac:dyDescent="0.25">
      <c r="A7" t="s">
        <v>17</v>
      </c>
      <c r="B7" s="1">
        <v>0</v>
      </c>
      <c r="C7" s="1">
        <f>$C$29/$B$11*B7</f>
        <v>0</v>
      </c>
      <c r="D7" s="1">
        <f>C37</f>
        <v>73379.06</v>
      </c>
      <c r="E7" s="1">
        <v>0</v>
      </c>
      <c r="F7" s="1">
        <f>(($C$46+$B$50)/($C$11+$D$11+$E$11)*(C7+D7+E7))</f>
        <v>7389.4296611015352</v>
      </c>
      <c r="G7" s="1">
        <f t="shared" si="0"/>
        <v>80768.489661101528</v>
      </c>
    </row>
    <row r="8" spans="1:8" x14ac:dyDescent="0.25">
      <c r="A8" t="s">
        <v>18</v>
      </c>
      <c r="B8" s="1">
        <f>B22</f>
        <v>85972.316249749201</v>
      </c>
      <c r="C8" s="1">
        <f>$C$29/$B$11*B8</f>
        <v>19061.660934073258</v>
      </c>
      <c r="D8" s="1">
        <f>C38</f>
        <v>20615.310000000001</v>
      </c>
      <c r="E8" s="1">
        <v>0</v>
      </c>
      <c r="F8" s="1">
        <f>(($C$46+$B$50)/($C$11+$D$11+$E$11)*(C8+D8+E8))</f>
        <v>3995.5565781696364</v>
      </c>
      <c r="G8" s="1">
        <f t="shared" si="0"/>
        <v>129644.84376199209</v>
      </c>
    </row>
    <row r="9" spans="1:8" x14ac:dyDescent="0.25">
      <c r="A9" t="s">
        <v>19</v>
      </c>
      <c r="B9" s="1">
        <f>B23</f>
        <v>186140.82192544569</v>
      </c>
      <c r="C9" s="1">
        <f>$C$29/$B$11*B9</f>
        <v>41270.881003428884</v>
      </c>
      <c r="D9" s="1">
        <v>0</v>
      </c>
      <c r="E9" s="1">
        <v>0</v>
      </c>
      <c r="F9" s="1">
        <f>(($C$46+$B$50)/($C$11+$D$11+$E$11)*(C9+D9+E9))</f>
        <v>4156.0667610968212</v>
      </c>
      <c r="G9" s="1">
        <f t="shared" si="0"/>
        <v>231567.76968997141</v>
      </c>
    </row>
    <row r="10" spans="1:8" x14ac:dyDescent="0.25">
      <c r="A10" t="s">
        <v>20</v>
      </c>
      <c r="B10" s="1">
        <f>B5+B6+B7+B8+B9</f>
        <v>349580.20048739872</v>
      </c>
      <c r="C10" s="1">
        <f t="shared" ref="C10:F10" si="2">C5+C6+C7+C8+C9</f>
        <v>77508.429941546259</v>
      </c>
      <c r="D10" s="1">
        <f t="shared" si="2"/>
        <v>334037.45</v>
      </c>
      <c r="E10" s="1">
        <f t="shared" si="2"/>
        <v>166616.18</v>
      </c>
      <c r="F10" s="1">
        <f t="shared" si="2"/>
        <v>58222.166850537826</v>
      </c>
      <c r="G10" s="1">
        <f t="shared" si="0"/>
        <v>985964.42727948271</v>
      </c>
    </row>
    <row r="11" spans="1:8" x14ac:dyDescent="0.25">
      <c r="A11" s="10" t="s">
        <v>3</v>
      </c>
      <c r="B11" s="12">
        <f>B10+B4</f>
        <v>1469290.9</v>
      </c>
      <c r="C11" s="12">
        <f t="shared" ref="C11:F11" si="3">C10+C4</f>
        <v>325769.11</v>
      </c>
      <c r="D11" s="12">
        <f t="shared" si="3"/>
        <v>5113809.49</v>
      </c>
      <c r="E11" s="12">
        <f t="shared" si="3"/>
        <v>166616.18</v>
      </c>
      <c r="F11" s="12">
        <f t="shared" si="3"/>
        <v>564555.91</v>
      </c>
      <c r="G11" s="12">
        <f t="shared" si="0"/>
        <v>7640041.5899999999</v>
      </c>
    </row>
    <row r="12" spans="1:8" x14ac:dyDescent="0.25">
      <c r="G12" s="1" t="b">
        <f>G11=B51</f>
        <v>1</v>
      </c>
    </row>
    <row r="14" spans="1:8" x14ac:dyDescent="0.25">
      <c r="A14" t="s">
        <v>12</v>
      </c>
      <c r="B14" s="2">
        <v>2515</v>
      </c>
    </row>
    <row r="15" spans="1:8" x14ac:dyDescent="0.25">
      <c r="A15" t="s">
        <v>11</v>
      </c>
      <c r="B15" s="2">
        <v>116</v>
      </c>
    </row>
    <row r="16" spans="1:8" x14ac:dyDescent="0.25">
      <c r="A16" t="s">
        <v>13</v>
      </c>
      <c r="B16" s="2">
        <v>58</v>
      </c>
    </row>
    <row r="17" spans="1:3" x14ac:dyDescent="0.25">
      <c r="A17" t="s">
        <v>1</v>
      </c>
      <c r="B17" s="2">
        <f>SUM(B14:B16)</f>
        <v>2689</v>
      </c>
    </row>
    <row r="18" spans="1:3" x14ac:dyDescent="0.25">
      <c r="B18" s="2"/>
    </row>
    <row r="19" spans="1:3" x14ac:dyDescent="0.25">
      <c r="A19" t="s">
        <v>25</v>
      </c>
      <c r="B19" s="2"/>
    </row>
    <row r="20" spans="1:3" x14ac:dyDescent="0.25">
      <c r="A20" t="s">
        <v>4</v>
      </c>
      <c r="B20" s="2">
        <v>390481.97187207954</v>
      </c>
    </row>
    <row r="21" spans="1:3" x14ac:dyDescent="0.25">
      <c r="A21" t="s">
        <v>5</v>
      </c>
      <c r="B21" s="2">
        <v>335104.61688340077</v>
      </c>
    </row>
    <row r="22" spans="1:3" x14ac:dyDescent="0.25">
      <c r="A22" t="s">
        <v>6</v>
      </c>
      <c r="B22" s="2">
        <v>85972.316249749201</v>
      </c>
    </row>
    <row r="23" spans="1:3" x14ac:dyDescent="0.25">
      <c r="A23" t="s">
        <v>7</v>
      </c>
      <c r="B23" s="2">
        <v>186140.82192544569</v>
      </c>
    </row>
    <row r="24" spans="1:3" x14ac:dyDescent="0.25">
      <c r="A24" t="s">
        <v>8</v>
      </c>
      <c r="B24" s="2">
        <v>293828.0588961608</v>
      </c>
    </row>
    <row r="25" spans="1:3" x14ac:dyDescent="0.25">
      <c r="A25" t="s">
        <v>9</v>
      </c>
      <c r="B25" s="2">
        <v>177763.11417316407</v>
      </c>
    </row>
    <row r="26" spans="1:3" x14ac:dyDescent="0.25">
      <c r="A26" t="s">
        <v>10</v>
      </c>
      <c r="B26" s="7">
        <f>SUM(B20:B25)</f>
        <v>1469290.9</v>
      </c>
      <c r="C26" s="2"/>
    </row>
    <row r="27" spans="1:3" x14ac:dyDescent="0.25">
      <c r="B27" s="2"/>
      <c r="C27" s="2"/>
    </row>
    <row r="28" spans="1:3" x14ac:dyDescent="0.25">
      <c r="A28" s="3" t="s">
        <v>26</v>
      </c>
      <c r="B28" s="8">
        <v>304281.74</v>
      </c>
      <c r="C28" s="2"/>
    </row>
    <row r="29" spans="1:3" x14ac:dyDescent="0.25">
      <c r="A29" s="3" t="s">
        <v>29</v>
      </c>
      <c r="B29" s="13">
        <v>21487.37</v>
      </c>
      <c r="C29" s="15">
        <f>B28+B29</f>
        <v>325769.11</v>
      </c>
    </row>
    <row r="30" spans="1:3" x14ac:dyDescent="0.25">
      <c r="A30" s="4" t="s">
        <v>37</v>
      </c>
      <c r="B30" s="8">
        <v>89164.85</v>
      </c>
      <c r="C30" s="2"/>
    </row>
    <row r="31" spans="1:3" x14ac:dyDescent="0.25">
      <c r="A31" s="4" t="s">
        <v>38</v>
      </c>
      <c r="B31" s="8">
        <v>136476.29999999999</v>
      </c>
      <c r="C31" s="2"/>
    </row>
    <row r="32" spans="1:3" x14ac:dyDescent="0.25">
      <c r="A32" s="4" t="s">
        <v>39</v>
      </c>
      <c r="B32" s="8">
        <v>14401.93</v>
      </c>
      <c r="C32" s="2"/>
    </row>
    <row r="33" spans="1:3" x14ac:dyDescent="0.25">
      <c r="A33" s="4" t="s">
        <v>43</v>
      </c>
      <c r="B33" s="8">
        <f>4779772.04-B34</f>
        <v>3691825.75</v>
      </c>
      <c r="C33" s="7"/>
    </row>
    <row r="34" spans="1:3" x14ac:dyDescent="0.25">
      <c r="A34" s="4" t="s">
        <v>44</v>
      </c>
      <c r="B34" s="13">
        <v>1087946.29</v>
      </c>
      <c r="C34" s="15">
        <f>B30+B31+B32+B33+B34</f>
        <v>5019815.12</v>
      </c>
    </row>
    <row r="35" spans="1:3" x14ac:dyDescent="0.25">
      <c r="A35" s="3" t="s">
        <v>47</v>
      </c>
      <c r="B35" s="8">
        <f>38816.9+23827.25</f>
        <v>62644.15</v>
      </c>
      <c r="C35" s="2"/>
    </row>
    <row r="36" spans="1:3" x14ac:dyDescent="0.25">
      <c r="A36" s="3" t="s">
        <v>35</v>
      </c>
      <c r="B36" s="8">
        <v>3866.19</v>
      </c>
      <c r="C36" s="2"/>
    </row>
    <row r="37" spans="1:3" x14ac:dyDescent="0.25">
      <c r="A37" s="3" t="s">
        <v>36</v>
      </c>
      <c r="B37" s="13">
        <v>6868.72</v>
      </c>
      <c r="C37" s="15">
        <f>B35+B36+B37</f>
        <v>73379.06</v>
      </c>
    </row>
    <row r="38" spans="1:3" x14ac:dyDescent="0.25">
      <c r="A38" s="4" t="s">
        <v>28</v>
      </c>
      <c r="B38" s="14">
        <v>20615.310000000001</v>
      </c>
      <c r="C38" s="16">
        <f>B38</f>
        <v>20615.310000000001</v>
      </c>
    </row>
    <row r="39" spans="1:3" x14ac:dyDescent="0.25">
      <c r="A39" s="4"/>
      <c r="B39" s="8"/>
      <c r="C39" s="7"/>
    </row>
    <row r="40" spans="1:3" x14ac:dyDescent="0.25">
      <c r="A40" s="3" t="s">
        <v>48</v>
      </c>
      <c r="B40" s="8">
        <f>166616.18-B41</f>
        <v>66539.23</v>
      </c>
      <c r="C40" s="2"/>
    </row>
    <row r="41" spans="1:3" x14ac:dyDescent="0.25">
      <c r="A41" s="3" t="s">
        <v>49</v>
      </c>
      <c r="B41" s="13">
        <f>58665.25+41411.7</f>
        <v>100076.95</v>
      </c>
      <c r="C41" s="15">
        <f>B40+B41</f>
        <v>166616.18</v>
      </c>
    </row>
    <row r="42" spans="1:3" x14ac:dyDescent="0.25">
      <c r="A42" s="4" t="s">
        <v>30</v>
      </c>
      <c r="B42" s="8">
        <v>17190.560000000001</v>
      </c>
      <c r="C42" s="2"/>
    </row>
    <row r="43" spans="1:3" x14ac:dyDescent="0.25">
      <c r="A43" s="4" t="s">
        <v>31</v>
      </c>
      <c r="B43" s="8">
        <v>2591.0700000000002</v>
      </c>
      <c r="C43" s="2"/>
    </row>
    <row r="44" spans="1:3" x14ac:dyDescent="0.25">
      <c r="A44" s="4" t="s">
        <v>32</v>
      </c>
      <c r="B44" s="8">
        <v>1212.67</v>
      </c>
      <c r="C44" s="2"/>
    </row>
    <row r="45" spans="1:3" x14ac:dyDescent="0.25">
      <c r="A45" s="4" t="s">
        <v>33</v>
      </c>
      <c r="B45" s="8">
        <v>27.5</v>
      </c>
      <c r="C45" s="2"/>
    </row>
    <row r="46" spans="1:3" x14ac:dyDescent="0.25">
      <c r="A46" s="4" t="s">
        <v>34</v>
      </c>
      <c r="B46" s="13">
        <v>518551.51</v>
      </c>
      <c r="C46" s="15">
        <f>SUM(B42:B46)</f>
        <v>539573.31000000006</v>
      </c>
    </row>
    <row r="47" spans="1:3" x14ac:dyDescent="0.25">
      <c r="A47" s="4" t="s">
        <v>1</v>
      </c>
      <c r="B47" s="9">
        <f>SUM(B28:B46)</f>
        <v>6145768.0900000008</v>
      </c>
      <c r="C47" s="9">
        <f>SUM(C28:C46)</f>
        <v>6145768.0899999999</v>
      </c>
    </row>
    <row r="48" spans="1:3" x14ac:dyDescent="0.25">
      <c r="C48" s="2"/>
    </row>
    <row r="49" spans="1:3" x14ac:dyDescent="0.25">
      <c r="A49" s="5" t="s">
        <v>41</v>
      </c>
      <c r="B49" s="8">
        <f>B47+B26</f>
        <v>7615058.9900000002</v>
      </c>
      <c r="C49" s="2"/>
    </row>
    <row r="50" spans="1:3" x14ac:dyDescent="0.25">
      <c r="A50" s="5" t="s">
        <v>40</v>
      </c>
      <c r="B50" s="8">
        <f>23860.01+1122.59</f>
        <v>24982.6</v>
      </c>
      <c r="C50" s="2"/>
    </row>
    <row r="51" spans="1:3" x14ac:dyDescent="0.25">
      <c r="A51" s="5" t="s">
        <v>42</v>
      </c>
      <c r="B51" s="8">
        <f>B49+B50</f>
        <v>7640041.5899999999</v>
      </c>
    </row>
    <row r="52" spans="1:3" x14ac:dyDescent="0.25">
      <c r="B52" s="8"/>
    </row>
  </sheetData>
  <pageMargins left="0.7" right="0.7" top="0.75" bottom="0.75" header="0.3" footer="0.3"/>
  <pageSetup paperSize="9" scale="76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98D0E-4551-4488-B381-04AC03D740BA}">
  <dimension ref="A1:H53"/>
  <sheetViews>
    <sheetView topLeftCell="A17" zoomScaleNormal="100" workbookViewId="0">
      <selection activeCell="C52" sqref="C52"/>
    </sheetView>
  </sheetViews>
  <sheetFormatPr defaultRowHeight="15" x14ac:dyDescent="0.25"/>
  <cols>
    <col min="1" max="1" width="52.42578125" customWidth="1"/>
    <col min="2" max="2" width="18.85546875" bestFit="1" customWidth="1"/>
    <col min="3" max="5" width="18.85546875" customWidth="1"/>
    <col min="6" max="6" width="25.140625" customWidth="1"/>
    <col min="7" max="7" width="18.85546875" customWidth="1"/>
    <col min="8" max="8" width="11.5703125" bestFit="1" customWidth="1"/>
  </cols>
  <sheetData>
    <row r="1" spans="1:8" x14ac:dyDescent="0.25">
      <c r="A1" s="10" t="s">
        <v>0</v>
      </c>
      <c r="B1" s="11" t="s">
        <v>22</v>
      </c>
      <c r="C1" s="11" t="s">
        <v>23</v>
      </c>
      <c r="D1" s="11" t="s">
        <v>24</v>
      </c>
      <c r="E1" s="11" t="s">
        <v>46</v>
      </c>
      <c r="F1" s="11" t="s">
        <v>45</v>
      </c>
      <c r="G1" s="11" t="s">
        <v>1</v>
      </c>
    </row>
    <row r="2" spans="1:8" x14ac:dyDescent="0.25">
      <c r="A2" t="s">
        <v>14</v>
      </c>
      <c r="B2" s="1">
        <f>(B20+B21)/B17*B14</f>
        <v>678060.42038340168</v>
      </c>
      <c r="C2" s="1">
        <f>$C$29/$B$11*B2</f>
        <v>165029.26484204133</v>
      </c>
      <c r="D2" s="1">
        <f>B33</f>
        <v>3522517.37</v>
      </c>
      <c r="E2" s="1">
        <v>0</v>
      </c>
      <c r="F2" s="1">
        <f>(($C$46+$B$50)/($C$11+$D$11+$E$11)*(C2+D2+E2))</f>
        <v>450577.77981854713</v>
      </c>
      <c r="G2" s="1">
        <f>SUM(B2:F2)</f>
        <v>4816184.8350439901</v>
      </c>
      <c r="H2" s="1"/>
    </row>
    <row r="3" spans="1:8" x14ac:dyDescent="0.25">
      <c r="A3" t="s">
        <v>21</v>
      </c>
      <c r="B3" s="1">
        <f>(B24+B25)/B17*B14</f>
        <v>455022.67965881532</v>
      </c>
      <c r="C3" s="1">
        <f>$C$29/$B$11*B3</f>
        <v>110745.37910366454</v>
      </c>
      <c r="D3" s="1">
        <f>B34</f>
        <v>1274405.1499999999</v>
      </c>
      <c r="E3" s="1">
        <v>0</v>
      </c>
      <c r="F3" s="1">
        <f>(($C$46+$B$50)/($C$11+$D$11+$E$11)*(C3+D3+E3))</f>
        <v>169250.21211148682</v>
      </c>
      <c r="G3" s="1">
        <f t="shared" ref="G3:G11" si="0">SUM(B3:F3)</f>
        <v>2009423.4208739665</v>
      </c>
    </row>
    <row r="4" spans="1:8" x14ac:dyDescent="0.25">
      <c r="A4" t="s">
        <v>15</v>
      </c>
      <c r="B4" s="1">
        <f>B2+B3</f>
        <v>1133083.1000422169</v>
      </c>
      <c r="C4" s="1">
        <f t="shared" ref="C4:F4" si="1">C2+C3</f>
        <v>275774.64394570584</v>
      </c>
      <c r="D4" s="1">
        <f t="shared" si="1"/>
        <v>4796922.5199999996</v>
      </c>
      <c r="E4" s="1">
        <f t="shared" si="1"/>
        <v>0</v>
      </c>
      <c r="F4" s="1">
        <f t="shared" si="1"/>
        <v>619827.99193003401</v>
      </c>
      <c r="G4" s="1">
        <f t="shared" si="0"/>
        <v>6825608.2559179561</v>
      </c>
    </row>
    <row r="5" spans="1:8" x14ac:dyDescent="0.25">
      <c r="A5" t="s">
        <v>2</v>
      </c>
      <c r="B5" s="1">
        <f>(B20+B21+B24+B25)/B17*B15</f>
        <v>50008.836622141578</v>
      </c>
      <c r="C5" s="1">
        <f>$C$29/$B$11*B5</f>
        <v>12171.36599521803</v>
      </c>
      <c r="D5" s="1">
        <f>B30+B31+B32</f>
        <v>250539.27999999997</v>
      </c>
      <c r="E5" s="1">
        <f>B40</f>
        <v>62193.600000000006</v>
      </c>
      <c r="F5" s="1">
        <f>(($C$46+$B$50)/($C$11+$D$11+$E$11)*(C5+D5+E5))</f>
        <v>39699.737606278526</v>
      </c>
      <c r="G5" s="1">
        <f t="shared" si="0"/>
        <v>414612.82022363809</v>
      </c>
    </row>
    <row r="6" spans="1:8" x14ac:dyDescent="0.25">
      <c r="A6" t="s">
        <v>16</v>
      </c>
      <c r="B6" s="1">
        <f>(B20+B21+B24+B25)/B17*B16</f>
        <v>25229.683340900257</v>
      </c>
      <c r="C6" s="1">
        <f>$C$29/$B$11*B6</f>
        <v>6140.5089705604478</v>
      </c>
      <c r="D6" s="1">
        <v>0</v>
      </c>
      <c r="E6" s="1">
        <f>B41</f>
        <v>98968.15</v>
      </c>
      <c r="F6" s="1">
        <f>(($C$46+$B$50)/($C$11+$D$11+$E$11)*(C6+D6+E6))</f>
        <v>12843.126037018545</v>
      </c>
      <c r="G6" s="1">
        <f t="shared" si="0"/>
        <v>143181.46834847925</v>
      </c>
    </row>
    <row r="7" spans="1:8" x14ac:dyDescent="0.25">
      <c r="A7" t="s">
        <v>17</v>
      </c>
      <c r="B7" s="1">
        <v>0</v>
      </c>
      <c r="C7" s="1">
        <f>$C$29/$B$11*B7</f>
        <v>0</v>
      </c>
      <c r="D7" s="1">
        <f>C37</f>
        <v>242076.75</v>
      </c>
      <c r="E7" s="1">
        <v>0</v>
      </c>
      <c r="F7" s="1">
        <f>(($C$46+$B$50)/($C$11+$D$11+$E$11)*(C7+D7+E7))</f>
        <v>29579.125462466658</v>
      </c>
      <c r="G7" s="1">
        <f t="shared" si="0"/>
        <v>271655.87546246668</v>
      </c>
    </row>
    <row r="8" spans="1:8" x14ac:dyDescent="0.25">
      <c r="A8" t="s">
        <v>18</v>
      </c>
      <c r="B8" s="1">
        <f>B22</f>
        <v>89282.113381833435</v>
      </c>
      <c r="C8" s="1">
        <f>$C$29/$B$11*B8</f>
        <v>21729.865203777099</v>
      </c>
      <c r="D8" s="1">
        <f>C38</f>
        <v>1212</v>
      </c>
      <c r="E8" s="1">
        <v>0</v>
      </c>
      <c r="F8" s="1">
        <f>(($C$46+$B$50)/($C$11+$D$11+$E$11)*(C8+D8+E8))</f>
        <v>2803.2444636071868</v>
      </c>
      <c r="G8" s="1">
        <f t="shared" si="0"/>
        <v>115027.22304921772</v>
      </c>
    </row>
    <row r="9" spans="1:8" x14ac:dyDescent="0.25">
      <c r="A9" t="s">
        <v>19</v>
      </c>
      <c r="B9" s="1">
        <f>B23</f>
        <v>176346.31661290783</v>
      </c>
      <c r="C9" s="1">
        <f>$C$29/$B$11*B9</f>
        <v>42919.925884738215</v>
      </c>
      <c r="D9" s="1">
        <v>0</v>
      </c>
      <c r="E9" s="1">
        <v>0</v>
      </c>
      <c r="F9" s="1">
        <f>(($C$46+$B$50)/($C$11+$D$11+$E$11)*(C9+D9+E9))</f>
        <v>5244.3445005951298</v>
      </c>
      <c r="G9" s="1">
        <f t="shared" si="0"/>
        <v>224510.58699824117</v>
      </c>
    </row>
    <row r="10" spans="1:8" x14ac:dyDescent="0.25">
      <c r="A10" t="s">
        <v>20</v>
      </c>
      <c r="B10" s="1">
        <f>B5+B6+B7+B8+B9</f>
        <v>340866.9499577831</v>
      </c>
      <c r="C10" s="1">
        <f t="shared" ref="C10:F10" si="2">C5+C6+C7+C8+C9</f>
        <v>82961.66605429379</v>
      </c>
      <c r="D10" s="1">
        <f t="shared" si="2"/>
        <v>493828.02999999997</v>
      </c>
      <c r="E10" s="1">
        <f t="shared" si="2"/>
        <v>161161.75</v>
      </c>
      <c r="F10" s="1">
        <f t="shared" si="2"/>
        <v>90169.578069966054</v>
      </c>
      <c r="G10" s="1">
        <f t="shared" si="0"/>
        <v>1168987.9740820429</v>
      </c>
    </row>
    <row r="11" spans="1:8" x14ac:dyDescent="0.25">
      <c r="A11" s="10" t="s">
        <v>3</v>
      </c>
      <c r="B11" s="12">
        <f>B10+B4</f>
        <v>1473950.05</v>
      </c>
      <c r="C11" s="12">
        <f t="shared" ref="C11:F11" si="3">C10+C4</f>
        <v>358736.30999999965</v>
      </c>
      <c r="D11" s="12">
        <f t="shared" si="3"/>
        <v>5290750.55</v>
      </c>
      <c r="E11" s="12">
        <f t="shared" si="3"/>
        <v>161161.75</v>
      </c>
      <c r="F11" s="12">
        <f t="shared" si="3"/>
        <v>709997.57000000007</v>
      </c>
      <c r="G11" s="12">
        <f t="shared" si="0"/>
        <v>7994596.2299999995</v>
      </c>
    </row>
    <row r="12" spans="1:8" x14ac:dyDescent="0.25">
      <c r="G12" s="1" t="b">
        <f>G11=B51</f>
        <v>1</v>
      </c>
    </row>
    <row r="14" spans="1:8" x14ac:dyDescent="0.25">
      <c r="A14" t="s">
        <v>12</v>
      </c>
      <c r="B14" s="2">
        <v>2515</v>
      </c>
    </row>
    <row r="15" spans="1:8" x14ac:dyDescent="0.25">
      <c r="A15" t="s">
        <v>11</v>
      </c>
      <c r="B15" s="2">
        <v>111</v>
      </c>
    </row>
    <row r="16" spans="1:8" x14ac:dyDescent="0.25">
      <c r="A16" t="s">
        <v>13</v>
      </c>
      <c r="B16" s="2">
        <v>56</v>
      </c>
    </row>
    <row r="17" spans="1:4" x14ac:dyDescent="0.25">
      <c r="A17" t="s">
        <v>1</v>
      </c>
      <c r="B17" s="2">
        <f>SUM(B14:B16)</f>
        <v>2682</v>
      </c>
    </row>
    <row r="18" spans="1:4" x14ac:dyDescent="0.25">
      <c r="B18" s="2"/>
    </row>
    <row r="19" spans="1:4" x14ac:dyDescent="0.25">
      <c r="A19" t="s">
        <v>25</v>
      </c>
      <c r="B19" s="2"/>
    </row>
    <row r="20" spans="1:4" x14ac:dyDescent="0.25">
      <c r="A20" t="s">
        <v>4</v>
      </c>
      <c r="B20" s="2">
        <v>430530.42429842241</v>
      </c>
    </row>
    <row r="21" spans="1:4" x14ac:dyDescent="0.25">
      <c r="A21" t="s">
        <v>5</v>
      </c>
      <c r="B21" s="2">
        <v>292554.28642455302</v>
      </c>
    </row>
    <row r="22" spans="1:4" x14ac:dyDescent="0.25">
      <c r="A22" t="s">
        <v>6</v>
      </c>
      <c r="B22" s="2">
        <v>89282.113381833435</v>
      </c>
    </row>
    <row r="23" spans="1:4" x14ac:dyDescent="0.25">
      <c r="A23" t="s">
        <v>7</v>
      </c>
      <c r="B23" s="2">
        <v>176346.31661290783</v>
      </c>
    </row>
    <row r="24" spans="1:4" x14ac:dyDescent="0.25">
      <c r="A24" t="s">
        <v>8</v>
      </c>
      <c r="B24" s="2">
        <v>304524.40129378682</v>
      </c>
    </row>
    <row r="25" spans="1:4" x14ac:dyDescent="0.25">
      <c r="A25" t="s">
        <v>9</v>
      </c>
      <c r="B25" s="2">
        <v>180712.50798849657</v>
      </c>
    </row>
    <row r="26" spans="1:4" x14ac:dyDescent="0.25">
      <c r="A26" t="s">
        <v>10</v>
      </c>
      <c r="B26" s="7">
        <f>SUM(B20:B25)</f>
        <v>1473950.0500000003</v>
      </c>
      <c r="C26" s="2">
        <f>B26-1434833.19</f>
        <v>39116.860000000335</v>
      </c>
      <c r="D26" s="6"/>
    </row>
    <row r="27" spans="1:4" x14ac:dyDescent="0.25">
      <c r="B27" s="2"/>
      <c r="C27" s="2"/>
    </row>
    <row r="28" spans="1:4" x14ac:dyDescent="0.25">
      <c r="A28" s="3" t="s">
        <v>26</v>
      </c>
      <c r="B28" s="8">
        <f>376911.37-C26</f>
        <v>337794.50999999966</v>
      </c>
      <c r="C28" s="2"/>
    </row>
    <row r="29" spans="1:4" x14ac:dyDescent="0.25">
      <c r="A29" s="3" t="s">
        <v>29</v>
      </c>
      <c r="B29" s="13">
        <v>20941.8</v>
      </c>
      <c r="C29" s="15">
        <f>B28+B29</f>
        <v>358736.30999999965</v>
      </c>
    </row>
    <row r="30" spans="1:4" x14ac:dyDescent="0.25">
      <c r="A30" s="4" t="s">
        <v>37</v>
      </c>
      <c r="B30" s="8">
        <v>107037.21</v>
      </c>
      <c r="C30" s="2"/>
    </row>
    <row r="31" spans="1:4" x14ac:dyDescent="0.25">
      <c r="A31" s="4" t="s">
        <v>38</v>
      </c>
      <c r="B31" s="8">
        <v>135342.32999999999</v>
      </c>
      <c r="C31" s="2"/>
    </row>
    <row r="32" spans="1:4" x14ac:dyDescent="0.25">
      <c r="A32" s="4" t="s">
        <v>39</v>
      </c>
      <c r="B32" s="8">
        <v>8159.74</v>
      </c>
      <c r="C32" s="2"/>
    </row>
    <row r="33" spans="1:3" x14ac:dyDescent="0.25">
      <c r="A33" s="4" t="s">
        <v>43</v>
      </c>
      <c r="B33" s="8">
        <f>4797877.62-B34-955.1</f>
        <v>3522517.37</v>
      </c>
      <c r="C33" s="7"/>
    </row>
    <row r="34" spans="1:3" x14ac:dyDescent="0.25">
      <c r="A34" s="4" t="s">
        <v>44</v>
      </c>
      <c r="B34" s="13">
        <v>1274405.1499999999</v>
      </c>
      <c r="C34" s="15">
        <f>B30+B31+B32+B33+B34</f>
        <v>5047461.8</v>
      </c>
    </row>
    <row r="35" spans="1:3" x14ac:dyDescent="0.25">
      <c r="A35" s="3" t="s">
        <v>47</v>
      </c>
      <c r="B35" s="8">
        <f>53532.94+188543.81</f>
        <v>242076.75</v>
      </c>
      <c r="C35" s="2"/>
    </row>
    <row r="36" spans="1:3" x14ac:dyDescent="0.25">
      <c r="A36" s="3" t="s">
        <v>35</v>
      </c>
      <c r="B36" s="8">
        <v>0</v>
      </c>
      <c r="C36" s="2"/>
    </row>
    <row r="37" spans="1:3" x14ac:dyDescent="0.25">
      <c r="A37" s="3" t="s">
        <v>36</v>
      </c>
      <c r="B37" s="13">
        <v>0</v>
      </c>
      <c r="C37" s="15">
        <f>B35+B36+B37</f>
        <v>242076.75</v>
      </c>
    </row>
    <row r="38" spans="1:3" x14ac:dyDescent="0.25">
      <c r="A38" s="4" t="s">
        <v>28</v>
      </c>
      <c r="B38" s="14">
        <v>1212</v>
      </c>
      <c r="C38" s="16">
        <f>B38</f>
        <v>1212</v>
      </c>
    </row>
    <row r="39" spans="1:3" x14ac:dyDescent="0.25">
      <c r="A39" s="4"/>
      <c r="B39" s="8"/>
      <c r="C39" s="7"/>
    </row>
    <row r="40" spans="1:3" x14ac:dyDescent="0.25">
      <c r="A40" s="3" t="s">
        <v>48</v>
      </c>
      <c r="B40" s="8">
        <f>161161.75-B41</f>
        <v>62193.600000000006</v>
      </c>
      <c r="C40" s="2"/>
    </row>
    <row r="41" spans="1:3" x14ac:dyDescent="0.25">
      <c r="A41" s="3" t="s">
        <v>49</v>
      </c>
      <c r="B41" s="13">
        <f>57305.05+41663.1</f>
        <v>98968.15</v>
      </c>
      <c r="C41" s="15">
        <f>B40+B41</f>
        <v>161161.75</v>
      </c>
    </row>
    <row r="42" spans="1:3" x14ac:dyDescent="0.25">
      <c r="A42" s="4" t="s">
        <v>30</v>
      </c>
      <c r="B42" s="8">
        <v>117420.85</v>
      </c>
      <c r="C42" s="2"/>
    </row>
    <row r="43" spans="1:3" x14ac:dyDescent="0.25">
      <c r="A43" s="4" t="s">
        <v>31</v>
      </c>
      <c r="B43" s="8">
        <v>2655.85</v>
      </c>
      <c r="C43" s="2"/>
    </row>
    <row r="44" spans="1:3" x14ac:dyDescent="0.25">
      <c r="A44" s="4" t="s">
        <v>32</v>
      </c>
      <c r="B44" s="8">
        <v>14527.13</v>
      </c>
      <c r="C44" s="2"/>
    </row>
    <row r="45" spans="1:3" x14ac:dyDescent="0.25">
      <c r="A45" s="4" t="s">
        <v>33</v>
      </c>
      <c r="B45" s="8">
        <v>64.540000000000006</v>
      </c>
      <c r="C45" s="2"/>
    </row>
    <row r="46" spans="1:3" x14ac:dyDescent="0.25">
      <c r="A46" s="4" t="s">
        <v>34</v>
      </c>
      <c r="B46" s="13">
        <f>736208.32-175944.78</f>
        <v>560263.53999999992</v>
      </c>
      <c r="C46" s="15">
        <f>SUM(B42:B46)</f>
        <v>694931.90999999992</v>
      </c>
    </row>
    <row r="47" spans="1:3" x14ac:dyDescent="0.25">
      <c r="A47" s="4" t="s">
        <v>1</v>
      </c>
      <c r="B47" s="9">
        <f>SUM(B28:B46)</f>
        <v>6505580.5199999986</v>
      </c>
      <c r="C47" s="9">
        <f>SUM(C28:C46)</f>
        <v>6505580.5199999996</v>
      </c>
    </row>
    <row r="48" spans="1:3" x14ac:dyDescent="0.25">
      <c r="C48" s="2"/>
    </row>
    <row r="49" spans="1:3" x14ac:dyDescent="0.25">
      <c r="A49" s="5" t="s">
        <v>41</v>
      </c>
      <c r="B49" s="8">
        <f>B47+B26</f>
        <v>7979530.5699999984</v>
      </c>
      <c r="C49" s="2"/>
    </row>
    <row r="50" spans="1:3" x14ac:dyDescent="0.25">
      <c r="A50" s="5" t="s">
        <v>40</v>
      </c>
      <c r="B50" s="8">
        <f>12691.64+2374.02</f>
        <v>15065.66</v>
      </c>
      <c r="C50" s="2"/>
    </row>
    <row r="51" spans="1:3" x14ac:dyDescent="0.25">
      <c r="A51" s="5" t="s">
        <v>42</v>
      </c>
      <c r="B51" s="8">
        <f>B49+B50</f>
        <v>7994596.2299999986</v>
      </c>
    </row>
    <row r="52" spans="1:3" x14ac:dyDescent="0.25">
      <c r="B52" s="8"/>
    </row>
    <row r="53" spans="1:3" x14ac:dyDescent="0.25">
      <c r="B53" s="6">
        <f>B51-8171496.11+176899.88</f>
        <v>-1.7462298274040222E-9</v>
      </c>
    </row>
  </sheetData>
  <pageMargins left="0.7" right="0.7" top="0.75" bottom="0.75" header="0.3" footer="0.3"/>
  <pageSetup paperSize="9" scale="76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A9740-3D62-4A6E-8FAB-0CDA39B69D0C}">
  <dimension ref="A1:H53"/>
  <sheetViews>
    <sheetView topLeftCell="A7" zoomScaleNormal="100" workbookViewId="0">
      <selection activeCell="B15" sqref="B15"/>
    </sheetView>
  </sheetViews>
  <sheetFormatPr defaultRowHeight="15" x14ac:dyDescent="0.25"/>
  <cols>
    <col min="1" max="1" width="52.42578125" customWidth="1"/>
    <col min="2" max="2" width="18.85546875" bestFit="1" customWidth="1"/>
    <col min="3" max="5" width="18.85546875" customWidth="1"/>
    <col min="6" max="6" width="25.140625" customWidth="1"/>
    <col min="7" max="7" width="18.85546875" customWidth="1"/>
    <col min="8" max="8" width="11.5703125" bestFit="1" customWidth="1"/>
  </cols>
  <sheetData>
    <row r="1" spans="1:8" x14ac:dyDescent="0.25">
      <c r="A1" s="10" t="s">
        <v>0</v>
      </c>
      <c r="B1" s="11" t="s">
        <v>22</v>
      </c>
      <c r="C1" s="11" t="s">
        <v>23</v>
      </c>
      <c r="D1" s="11" t="s">
        <v>24</v>
      </c>
      <c r="E1" s="11" t="s">
        <v>46</v>
      </c>
      <c r="F1" s="11" t="s">
        <v>45</v>
      </c>
      <c r="G1" s="11" t="s">
        <v>1</v>
      </c>
    </row>
    <row r="2" spans="1:8" x14ac:dyDescent="0.25">
      <c r="A2" t="s">
        <v>14</v>
      </c>
      <c r="B2" s="1">
        <f>(B20+B21)/B17*B14</f>
        <v>690864.92069965473</v>
      </c>
      <c r="C2" s="1">
        <f>$C$29/$B$11*B2</f>
        <v>175086.03540280176</v>
      </c>
      <c r="D2" s="1">
        <f>B33</f>
        <v>3346700.02</v>
      </c>
      <c r="E2" s="1">
        <v>0</v>
      </c>
      <c r="F2" s="1">
        <f>(($C$46+$B$50)/($C$11+$D$11+$E$11)*(C2+D2+E2))</f>
        <v>354022.30904962623</v>
      </c>
      <c r="G2" s="1">
        <f>SUM(B2:F2)</f>
        <v>4566673.2851520823</v>
      </c>
      <c r="H2" s="1"/>
    </row>
    <row r="3" spans="1:8" x14ac:dyDescent="0.25">
      <c r="A3" t="s">
        <v>21</v>
      </c>
      <c r="B3" s="1">
        <f>(B24+B25)/B17*B14</f>
        <v>449719.51894690696</v>
      </c>
      <c r="C3" s="1">
        <f>$C$29/$B$11*B3</f>
        <v>113972.5078759647</v>
      </c>
      <c r="D3" s="1">
        <f>B34</f>
        <v>1053451.95</v>
      </c>
      <c r="E3" s="1">
        <v>0</v>
      </c>
      <c r="F3" s="1">
        <f>(($C$46+$B$50)/($C$11+$D$11+$E$11)*(C3+D3+E3))</f>
        <v>117353.60857148573</v>
      </c>
      <c r="G3" s="1">
        <f t="shared" ref="G3:G11" si="0">SUM(B3:F3)</f>
        <v>1734497.5853943573</v>
      </c>
    </row>
    <row r="4" spans="1:8" x14ac:dyDescent="0.25">
      <c r="A4" t="s">
        <v>15</v>
      </c>
      <c r="B4" s="1">
        <f>B2+B3</f>
        <v>1140584.4396465616</v>
      </c>
      <c r="C4" s="1">
        <f t="shared" ref="C4:F4" si="1">C2+C3</f>
        <v>289058.54327876645</v>
      </c>
      <c r="D4" s="1">
        <f t="shared" si="1"/>
        <v>4400151.97</v>
      </c>
      <c r="E4" s="1">
        <f t="shared" si="1"/>
        <v>0</v>
      </c>
      <c r="F4" s="1">
        <f t="shared" si="1"/>
        <v>471375.91762111196</v>
      </c>
      <c r="G4" s="1">
        <f t="shared" si="0"/>
        <v>6301170.8705464397</v>
      </c>
    </row>
    <row r="5" spans="1:8" x14ac:dyDescent="0.25">
      <c r="A5" t="s">
        <v>2</v>
      </c>
      <c r="B5" s="1">
        <f>(B20+B21+B24+B25)/B17*B15</f>
        <v>46757.49556335665</v>
      </c>
      <c r="C5" s="1">
        <f>$C$29/$B$11*B5</f>
        <v>11849.761477629327</v>
      </c>
      <c r="D5" s="1">
        <f>B30+B31+B32</f>
        <v>209776.6</v>
      </c>
      <c r="E5" s="1">
        <f>B40</f>
        <v>63525.119999999995</v>
      </c>
      <c r="F5" s="1">
        <f>(($C$46+$B$50)/($C$11+$D$11+$E$11)*(C5+D5+E5))</f>
        <v>28664.428876014157</v>
      </c>
      <c r="G5" s="1">
        <f t="shared" si="0"/>
        <v>360573.40591700008</v>
      </c>
    </row>
    <row r="6" spans="1:8" x14ac:dyDescent="0.25">
      <c r="A6" t="s">
        <v>16</v>
      </c>
      <c r="B6" s="1">
        <f>(B20+B21+B24+B25)/B17*B16</f>
        <v>27855.529271786942</v>
      </c>
      <c r="C6" s="1">
        <f>$C$29/$B$11*B6</f>
        <v>7059.4323696515139</v>
      </c>
      <c r="D6" s="1">
        <v>0</v>
      </c>
      <c r="E6" s="1">
        <f>B41</f>
        <v>98953.65</v>
      </c>
      <c r="F6" s="1">
        <f>(($C$46+$B$50)/($C$11+$D$11+$E$11)*(C6+D6+E6))</f>
        <v>10656.807545817734</v>
      </c>
      <c r="G6" s="1">
        <f t="shared" si="0"/>
        <v>144525.41918725619</v>
      </c>
    </row>
    <row r="7" spans="1:8" x14ac:dyDescent="0.25">
      <c r="A7" t="s">
        <v>17</v>
      </c>
      <c r="B7" s="1">
        <v>0</v>
      </c>
      <c r="C7" s="1">
        <f>$C$29/$B$11*B7</f>
        <v>0</v>
      </c>
      <c r="D7" s="1">
        <f>C37</f>
        <v>514466.78</v>
      </c>
      <c r="E7" s="1">
        <v>0</v>
      </c>
      <c r="F7" s="1">
        <f>(($C$46+$B$50)/($C$11+$D$11+$E$11)*(C7+D7+E7))</f>
        <v>51716.008445633641</v>
      </c>
      <c r="G7" s="1">
        <f t="shared" si="0"/>
        <v>566182.78844563372</v>
      </c>
    </row>
    <row r="8" spans="1:8" x14ac:dyDescent="0.25">
      <c r="A8" t="s">
        <v>18</v>
      </c>
      <c r="B8" s="1">
        <f>B22</f>
        <v>89308.851657563893</v>
      </c>
      <c r="C8" s="1">
        <f>$C$29/$B$11*B8</f>
        <v>22633.56018606955</v>
      </c>
      <c r="D8" s="1">
        <f>C38</f>
        <v>690</v>
      </c>
      <c r="E8" s="1">
        <v>0</v>
      </c>
      <c r="F8" s="1">
        <f>(($C$46+$B$50)/($C$11+$D$11+$E$11)*(C8+D8+E8))</f>
        <v>2344.5662236248127</v>
      </c>
      <c r="G8" s="1">
        <f t="shared" si="0"/>
        <v>114976.97806725826</v>
      </c>
    </row>
    <row r="9" spans="1:8" x14ac:dyDescent="0.25">
      <c r="A9" t="s">
        <v>19</v>
      </c>
      <c r="B9" s="1">
        <f>B23</f>
        <v>192034.46386073099</v>
      </c>
      <c r="C9" s="1">
        <f>$C$29/$B$11*B9</f>
        <v>48667.332687882998</v>
      </c>
      <c r="D9" s="1">
        <v>0</v>
      </c>
      <c r="E9" s="1">
        <v>0</v>
      </c>
      <c r="F9" s="1">
        <f>(($C$46+$B$50)/($C$11+$D$11+$E$11)*(C9+D9+E9))</f>
        <v>4892.2112877978616</v>
      </c>
      <c r="G9" s="1">
        <f t="shared" si="0"/>
        <v>245594.00783641185</v>
      </c>
    </row>
    <row r="10" spans="1:8" x14ac:dyDescent="0.25">
      <c r="A10" t="s">
        <v>20</v>
      </c>
      <c r="B10" s="1">
        <f>B5+B6+B7+B8+B9</f>
        <v>355956.34035343846</v>
      </c>
      <c r="C10" s="1">
        <f t="shared" ref="C10:F10" si="2">C5+C6+C7+C8+C9</f>
        <v>90210.086721233383</v>
      </c>
      <c r="D10" s="1">
        <f t="shared" si="2"/>
        <v>724933.38</v>
      </c>
      <c r="E10" s="1">
        <f t="shared" si="2"/>
        <v>162478.76999999999</v>
      </c>
      <c r="F10" s="1">
        <f t="shared" si="2"/>
        <v>98274.022378888214</v>
      </c>
      <c r="G10" s="1">
        <f t="shared" si="0"/>
        <v>1431852.5994535601</v>
      </c>
    </row>
    <row r="11" spans="1:8" x14ac:dyDescent="0.25">
      <c r="A11" s="10" t="s">
        <v>3</v>
      </c>
      <c r="B11" s="12">
        <f>B10+B4</f>
        <v>1496540.78</v>
      </c>
      <c r="C11" s="12">
        <f t="shared" ref="C11:F11" si="3">C10+C4</f>
        <v>379268.62999999983</v>
      </c>
      <c r="D11" s="12">
        <f t="shared" si="3"/>
        <v>5125085.3499999996</v>
      </c>
      <c r="E11" s="12">
        <f t="shared" si="3"/>
        <v>162478.76999999999</v>
      </c>
      <c r="F11" s="12">
        <f t="shared" si="3"/>
        <v>569649.94000000018</v>
      </c>
      <c r="G11" s="12">
        <f t="shared" si="0"/>
        <v>7733023.4699999997</v>
      </c>
    </row>
    <row r="12" spans="1:8" x14ac:dyDescent="0.25">
      <c r="G12" s="1" t="b">
        <f>G11=B51</f>
        <v>1</v>
      </c>
    </row>
    <row r="14" spans="1:8" x14ac:dyDescent="0.25">
      <c r="A14" t="s">
        <v>12</v>
      </c>
      <c r="B14" s="2">
        <v>2293</v>
      </c>
    </row>
    <row r="15" spans="1:8" x14ac:dyDescent="0.25">
      <c r="A15" t="s">
        <v>11</v>
      </c>
      <c r="B15" s="2">
        <v>94</v>
      </c>
    </row>
    <row r="16" spans="1:8" x14ac:dyDescent="0.25">
      <c r="A16" t="s">
        <v>13</v>
      </c>
      <c r="B16" s="2">
        <v>56</v>
      </c>
    </row>
    <row r="17" spans="1:4" x14ac:dyDescent="0.25">
      <c r="A17" t="s">
        <v>1</v>
      </c>
      <c r="B17" s="2">
        <f>SUM(B14:B16)</f>
        <v>2443</v>
      </c>
    </row>
    <row r="18" spans="1:4" x14ac:dyDescent="0.25">
      <c r="B18" s="2"/>
    </row>
    <row r="19" spans="1:4" x14ac:dyDescent="0.25">
      <c r="A19" t="s">
        <v>25</v>
      </c>
      <c r="B19" s="2"/>
    </row>
    <row r="20" spans="1:4" x14ac:dyDescent="0.25">
      <c r="A20" t="s">
        <v>4</v>
      </c>
      <c r="B20" s="2">
        <v>451825.61528494029</v>
      </c>
    </row>
    <row r="21" spans="1:4" x14ac:dyDescent="0.25">
      <c r="A21" t="s">
        <v>5</v>
      </c>
      <c r="B21" s="2">
        <v>284233.26010505378</v>
      </c>
    </row>
    <row r="22" spans="1:4" x14ac:dyDescent="0.25">
      <c r="A22" t="s">
        <v>6</v>
      </c>
      <c r="B22" s="2">
        <v>89308.851657563893</v>
      </c>
    </row>
    <row r="23" spans="1:4" x14ac:dyDescent="0.25">
      <c r="A23" t="s">
        <v>7</v>
      </c>
      <c r="B23" s="2">
        <v>192034.46386073099</v>
      </c>
    </row>
    <row r="24" spans="1:4" x14ac:dyDescent="0.25">
      <c r="A24" t="s">
        <v>8</v>
      </c>
      <c r="B24" s="2">
        <v>289407.99939310289</v>
      </c>
    </row>
    <row r="25" spans="1:4" x14ac:dyDescent="0.25">
      <c r="A25" t="s">
        <v>9</v>
      </c>
      <c r="B25" s="2">
        <v>189730.58969860827</v>
      </c>
    </row>
    <row r="26" spans="1:4" x14ac:dyDescent="0.25">
      <c r="A26" t="s">
        <v>10</v>
      </c>
      <c r="B26" s="7">
        <f>SUM(B20:B25)</f>
        <v>1496540.7800000003</v>
      </c>
      <c r="C26" s="2">
        <f>B26-1456649.62</f>
        <v>39891.160000000149</v>
      </c>
      <c r="D26" s="6"/>
    </row>
    <row r="27" spans="1:4" x14ac:dyDescent="0.25">
      <c r="B27" s="2"/>
      <c r="C27" s="2"/>
    </row>
    <row r="28" spans="1:4" x14ac:dyDescent="0.25">
      <c r="A28" s="3" t="s">
        <v>26</v>
      </c>
      <c r="B28" s="8">
        <f>398780.17-C26</f>
        <v>358889.00999999983</v>
      </c>
      <c r="C28" s="2"/>
    </row>
    <row r="29" spans="1:4" x14ac:dyDescent="0.25">
      <c r="A29" s="3" t="s">
        <v>29</v>
      </c>
      <c r="B29" s="13">
        <v>20379.62</v>
      </c>
      <c r="C29" s="15">
        <f>B28+B29</f>
        <v>379268.62999999983</v>
      </c>
    </row>
    <row r="30" spans="1:4" x14ac:dyDescent="0.25">
      <c r="A30" s="4" t="s">
        <v>37</v>
      </c>
      <c r="B30" s="8">
        <v>86314.83</v>
      </c>
      <c r="C30" s="2"/>
    </row>
    <row r="31" spans="1:4" x14ac:dyDescent="0.25">
      <c r="A31" s="4" t="s">
        <v>38</v>
      </c>
      <c r="B31" s="8">
        <v>115431.51</v>
      </c>
      <c r="C31" s="2"/>
    </row>
    <row r="32" spans="1:4" x14ac:dyDescent="0.25">
      <c r="A32" s="4" t="s">
        <v>39</v>
      </c>
      <c r="B32" s="8">
        <v>8030.26</v>
      </c>
      <c r="C32" s="2"/>
    </row>
    <row r="33" spans="1:3" x14ac:dyDescent="0.25">
      <c r="A33" s="4" t="s">
        <v>43</v>
      </c>
      <c r="B33" s="8">
        <f>4349909.33-B34-463.42+50706.06</f>
        <v>3346700.02</v>
      </c>
      <c r="C33" s="7"/>
    </row>
    <row r="34" spans="1:3" x14ac:dyDescent="0.25">
      <c r="A34" s="4" t="s">
        <v>44</v>
      </c>
      <c r="B34" s="13">
        <f>50706.06+1002745.89</f>
        <v>1053451.95</v>
      </c>
      <c r="C34" s="15">
        <f>B30+B31+B32+B33+B34</f>
        <v>4609928.57</v>
      </c>
    </row>
    <row r="35" spans="1:3" x14ac:dyDescent="0.25">
      <c r="A35" s="3" t="s">
        <v>47</v>
      </c>
      <c r="B35" s="8">
        <f>451326.94+63139.84</f>
        <v>514466.78</v>
      </c>
      <c r="C35" s="2"/>
    </row>
    <row r="36" spans="1:3" x14ac:dyDescent="0.25">
      <c r="A36" s="3" t="s">
        <v>35</v>
      </c>
      <c r="B36" s="8">
        <v>0</v>
      </c>
      <c r="C36" s="2"/>
    </row>
    <row r="37" spans="1:3" x14ac:dyDescent="0.25">
      <c r="A37" s="3" t="s">
        <v>36</v>
      </c>
      <c r="B37" s="13">
        <v>0</v>
      </c>
      <c r="C37" s="15">
        <f>B35+B36+B37</f>
        <v>514466.78</v>
      </c>
    </row>
    <row r="38" spans="1:3" x14ac:dyDescent="0.25">
      <c r="A38" s="4" t="s">
        <v>28</v>
      </c>
      <c r="B38" s="14">
        <v>690</v>
      </c>
      <c r="C38" s="16">
        <f>B38</f>
        <v>690</v>
      </c>
    </row>
    <row r="39" spans="1:3" x14ac:dyDescent="0.25">
      <c r="A39" s="4"/>
      <c r="B39" s="8"/>
      <c r="C39" s="7"/>
    </row>
    <row r="40" spans="1:3" x14ac:dyDescent="0.25">
      <c r="A40" s="3" t="s">
        <v>48</v>
      </c>
      <c r="B40" s="8">
        <f>162478.77-B41</f>
        <v>63525.119999999995</v>
      </c>
      <c r="C40" s="2"/>
    </row>
    <row r="41" spans="1:3" x14ac:dyDescent="0.25">
      <c r="A41" s="3" t="s">
        <v>49</v>
      </c>
      <c r="B41" s="13">
        <f>57290.55+41663.1</f>
        <v>98953.65</v>
      </c>
      <c r="C41" s="15">
        <f>B40+B41</f>
        <v>162478.76999999999</v>
      </c>
    </row>
    <row r="42" spans="1:3" x14ac:dyDescent="0.25">
      <c r="A42" s="4" t="s">
        <v>30</v>
      </c>
      <c r="B42" s="8">
        <v>77428.47</v>
      </c>
      <c r="C42" s="2"/>
    </row>
    <row r="43" spans="1:3" x14ac:dyDescent="0.25">
      <c r="A43" s="4" t="s">
        <v>31</v>
      </c>
      <c r="B43" s="8">
        <v>1343.7</v>
      </c>
      <c r="C43" s="2"/>
    </row>
    <row r="44" spans="1:3" x14ac:dyDescent="0.25">
      <c r="A44" s="4" t="s">
        <v>32</v>
      </c>
      <c r="B44" s="8">
        <v>1943.71</v>
      </c>
      <c r="C44" s="2"/>
    </row>
    <row r="45" spans="1:3" x14ac:dyDescent="0.25">
      <c r="A45" s="4" t="s">
        <v>33</v>
      </c>
      <c r="B45" s="8">
        <v>0</v>
      </c>
      <c r="C45" s="2"/>
    </row>
    <row r="46" spans="1:3" x14ac:dyDescent="0.25">
      <c r="A46" s="4" t="s">
        <v>34</v>
      </c>
      <c r="B46" s="13">
        <f>646534.79-170646.8</f>
        <v>475887.99000000005</v>
      </c>
      <c r="C46" s="15">
        <f>SUM(B42:B46)</f>
        <v>556603.87000000011</v>
      </c>
    </row>
    <row r="47" spans="1:3" x14ac:dyDescent="0.25">
      <c r="A47" s="4" t="s">
        <v>1</v>
      </c>
      <c r="B47" s="9">
        <f>SUM(B28:B46)</f>
        <v>6223436.620000001</v>
      </c>
      <c r="C47" s="9">
        <f>SUM(C28:C46)</f>
        <v>6223436.6200000001</v>
      </c>
    </row>
    <row r="48" spans="1:3" x14ac:dyDescent="0.25">
      <c r="C48" s="2"/>
    </row>
    <row r="49" spans="1:3" x14ac:dyDescent="0.25">
      <c r="A49" s="5" t="s">
        <v>41</v>
      </c>
      <c r="B49" s="8">
        <f>B47+B26</f>
        <v>7719977.4000000013</v>
      </c>
      <c r="C49" s="2"/>
    </row>
    <row r="50" spans="1:3" x14ac:dyDescent="0.25">
      <c r="A50" s="5" t="s">
        <v>40</v>
      </c>
      <c r="B50" s="8">
        <f>10722.49+2323.58</f>
        <v>13046.07</v>
      </c>
      <c r="C50" s="2"/>
    </row>
    <row r="51" spans="1:3" x14ac:dyDescent="0.25">
      <c r="A51" s="5" t="s">
        <v>42</v>
      </c>
      <c r="B51" s="8">
        <f>B49+B50</f>
        <v>7733023.4700000016</v>
      </c>
    </row>
    <row r="52" spans="1:3" x14ac:dyDescent="0.25">
      <c r="B52" s="8"/>
    </row>
    <row r="53" spans="1:3" x14ac:dyDescent="0.25">
      <c r="B53" s="6">
        <f>B51-7904133.69+171110.22</f>
        <v>1.1932570487260818E-9</v>
      </c>
    </row>
  </sheetData>
  <pageMargins left="0.7" right="0.7" top="0.75" bottom="0.75" header="0.3" footer="0.3"/>
  <pageSetup paperSize="9" scale="76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62151-1EBF-4171-B9D0-425EA22C5135}">
  <dimension ref="A1:H53"/>
  <sheetViews>
    <sheetView zoomScaleNormal="100" workbookViewId="0">
      <selection activeCell="B21" sqref="B21"/>
    </sheetView>
  </sheetViews>
  <sheetFormatPr defaultRowHeight="15" x14ac:dyDescent="0.25"/>
  <cols>
    <col min="1" max="1" width="52.42578125" customWidth="1"/>
    <col min="2" max="2" width="18.85546875" bestFit="1" customWidth="1"/>
    <col min="3" max="5" width="18.85546875" customWidth="1"/>
    <col min="6" max="6" width="25.140625" customWidth="1"/>
    <col min="7" max="7" width="18.85546875" customWidth="1"/>
    <col min="8" max="8" width="11.5703125" bestFit="1" customWidth="1"/>
  </cols>
  <sheetData>
    <row r="1" spans="1:8" x14ac:dyDescent="0.25">
      <c r="A1" s="10" t="s">
        <v>0</v>
      </c>
      <c r="B1" s="11" t="s">
        <v>22</v>
      </c>
      <c r="C1" s="11" t="s">
        <v>23</v>
      </c>
      <c r="D1" s="11" t="s">
        <v>24</v>
      </c>
      <c r="E1" s="11" t="s">
        <v>46</v>
      </c>
      <c r="F1" s="11" t="s">
        <v>45</v>
      </c>
      <c r="G1" s="11" t="s">
        <v>1</v>
      </c>
    </row>
    <row r="2" spans="1:8" x14ac:dyDescent="0.25">
      <c r="A2" t="s">
        <v>14</v>
      </c>
      <c r="B2" s="1">
        <f>(B20+B21)/B17*B14</f>
        <v>655040.17586098774</v>
      </c>
      <c r="C2" s="1">
        <f>$C$29/$B$11*B2</f>
        <v>202411.78567009876</v>
      </c>
      <c r="D2" s="1">
        <f>B33</f>
        <v>3418067.62</v>
      </c>
      <c r="E2" s="1">
        <v>0</v>
      </c>
      <c r="F2" s="1">
        <f>(($C$46+$B$50)/($C$11+$D$11+$E$11)*(C2+D2+E2))</f>
        <v>500345.91220384231</v>
      </c>
      <c r="G2" s="1">
        <f>SUM(B2:F2)</f>
        <v>4775865.4937349297</v>
      </c>
      <c r="H2" s="1"/>
    </row>
    <row r="3" spans="1:8" x14ac:dyDescent="0.25">
      <c r="A3" t="s">
        <v>21</v>
      </c>
      <c r="B3" s="1">
        <f>(B24+B25)/B17*B14</f>
        <v>388052.06369702314</v>
      </c>
      <c r="C3" s="1">
        <f>$C$29/$B$11*B3</f>
        <v>119910.67729951028</v>
      </c>
      <c r="D3" s="1">
        <f>B34</f>
        <v>876648.8</v>
      </c>
      <c r="E3" s="1">
        <v>0</v>
      </c>
      <c r="F3" s="1">
        <f>(($C$46+$B$50)/($C$11+$D$11+$E$11)*(C3+D3+E3))</f>
        <v>137723.32469393496</v>
      </c>
      <c r="G3" s="1">
        <f t="shared" ref="G3:G11" si="0">SUM(B3:F3)</f>
        <v>1522334.8656904683</v>
      </c>
    </row>
    <row r="4" spans="1:8" x14ac:dyDescent="0.25">
      <c r="A4" t="s">
        <v>15</v>
      </c>
      <c r="B4" s="1">
        <f>B2+B3</f>
        <v>1043092.2395580108</v>
      </c>
      <c r="C4" s="1">
        <f t="shared" ref="C4:F4" si="1">C2+C3</f>
        <v>322322.46296960907</v>
      </c>
      <c r="D4" s="1">
        <f t="shared" si="1"/>
        <v>4294716.42</v>
      </c>
      <c r="E4" s="1">
        <f t="shared" si="1"/>
        <v>0</v>
      </c>
      <c r="F4" s="1">
        <f t="shared" si="1"/>
        <v>638069.2368977773</v>
      </c>
      <c r="G4" s="1">
        <f t="shared" si="0"/>
        <v>6298200.3594253976</v>
      </c>
    </row>
    <row r="5" spans="1:8" x14ac:dyDescent="0.25">
      <c r="A5" t="s">
        <v>2</v>
      </c>
      <c r="B5" s="1">
        <f>(B20+B21+B24+B25)/B17*B15</f>
        <v>42760.868084802882</v>
      </c>
      <c r="C5" s="1">
        <f>$C$29/$B$11*B5</f>
        <v>13213.393597533033</v>
      </c>
      <c r="D5" s="1">
        <f>B30+B31+B32</f>
        <v>198192.3</v>
      </c>
      <c r="E5" s="1">
        <f>B40</f>
        <v>63525.12000000001</v>
      </c>
      <c r="F5" s="1">
        <f>(($C$46+$B$50)/($C$11+$D$11+$E$11)*(C5+D5+E5))</f>
        <v>37995.108743600686</v>
      </c>
      <c r="G5" s="1">
        <f t="shared" si="0"/>
        <v>355686.79042593658</v>
      </c>
    </row>
    <row r="6" spans="1:8" x14ac:dyDescent="0.25">
      <c r="A6" t="s">
        <v>16</v>
      </c>
      <c r="B6" s="1">
        <f>(B20+B21+B24+B25)/B17*B16</f>
        <v>25019.656858129347</v>
      </c>
      <c r="C6" s="1">
        <f>$C$29/$B$11*B6</f>
        <v>7731.2409347267758</v>
      </c>
      <c r="D6" s="1">
        <v>0</v>
      </c>
      <c r="E6" s="1">
        <f>B41</f>
        <v>98946.08</v>
      </c>
      <c r="F6" s="1">
        <f>(($C$46+$B$50)/($C$11+$D$11+$E$11)*(C6+D6+E6))</f>
        <v>14742.677826299874</v>
      </c>
      <c r="G6" s="1">
        <f t="shared" si="0"/>
        <v>146439.65561915599</v>
      </c>
    </row>
    <row r="7" spans="1:8" x14ac:dyDescent="0.25">
      <c r="A7" t="s">
        <v>17</v>
      </c>
      <c r="B7" s="1">
        <v>0</v>
      </c>
      <c r="C7" s="1">
        <f>$C$29/$B$11*B7</f>
        <v>0</v>
      </c>
      <c r="D7" s="1">
        <f>C37</f>
        <v>124940.48</v>
      </c>
      <c r="E7" s="1">
        <v>0</v>
      </c>
      <c r="F7" s="1">
        <f>(($C$46+$B$50)/($C$11+$D$11+$E$11)*(C7+D7+E7))</f>
        <v>17266.624508036821</v>
      </c>
      <c r="G7" s="1">
        <f t="shared" si="0"/>
        <v>142207.10450803681</v>
      </c>
    </row>
    <row r="8" spans="1:8" x14ac:dyDescent="0.25">
      <c r="A8" t="s">
        <v>18</v>
      </c>
      <c r="B8" s="1">
        <f>B22</f>
        <v>87313.564551427975</v>
      </c>
      <c r="C8" s="1">
        <f>$C$29/$B$11*B8</f>
        <v>26980.474122592736</v>
      </c>
      <c r="D8" s="1">
        <f>C38</f>
        <v>97.5</v>
      </c>
      <c r="E8" s="1">
        <v>0</v>
      </c>
      <c r="F8" s="1">
        <f>(($C$46+$B$50)/($C$11+$D$11+$E$11)*(C8+D8+E8))</f>
        <v>3742.1435519788829</v>
      </c>
      <c r="G8" s="1">
        <f t="shared" si="0"/>
        <v>118133.68222599958</v>
      </c>
    </row>
    <row r="9" spans="1:8" x14ac:dyDescent="0.25">
      <c r="A9" t="s">
        <v>19</v>
      </c>
      <c r="B9" s="1">
        <f>B23</f>
        <v>164705.66094762908</v>
      </c>
      <c r="C9" s="1">
        <f>$C$29/$B$11*B9</f>
        <v>50895.148375537967</v>
      </c>
      <c r="D9" s="1">
        <v>0</v>
      </c>
      <c r="E9" s="1">
        <v>0</v>
      </c>
      <c r="F9" s="1">
        <f>(($C$46+$B$50)/($C$11+$D$11+$E$11)*(C9+D9+E9))</f>
        <v>7033.6484723064477</v>
      </c>
      <c r="G9" s="1">
        <f t="shared" si="0"/>
        <v>222634.45779547349</v>
      </c>
    </row>
    <row r="10" spans="1:8" x14ac:dyDescent="0.25">
      <c r="A10" t="s">
        <v>20</v>
      </c>
      <c r="B10" s="1">
        <f>B5+B6+B7+B8+B9</f>
        <v>319799.75044198928</v>
      </c>
      <c r="C10" s="1">
        <f t="shared" ref="C10:F10" si="2">C5+C6+C7+C8+C9</f>
        <v>98820.257030390523</v>
      </c>
      <c r="D10" s="1">
        <f t="shared" si="2"/>
        <v>323230.27999999997</v>
      </c>
      <c r="E10" s="1">
        <f t="shared" si="2"/>
        <v>162471.20000000001</v>
      </c>
      <c r="F10" s="1">
        <f t="shared" si="2"/>
        <v>80780.203102222717</v>
      </c>
      <c r="G10" s="1">
        <f t="shared" si="0"/>
        <v>985101.69057460257</v>
      </c>
    </row>
    <row r="11" spans="1:8" x14ac:dyDescent="0.25">
      <c r="A11" s="10" t="s">
        <v>3</v>
      </c>
      <c r="B11" s="12">
        <f>B10+B4</f>
        <v>1362891.9900000002</v>
      </c>
      <c r="C11" s="12">
        <f t="shared" ref="C11:F11" si="3">C10+C4</f>
        <v>421142.71999999962</v>
      </c>
      <c r="D11" s="12">
        <f t="shared" si="3"/>
        <v>4617946.7</v>
      </c>
      <c r="E11" s="12">
        <f t="shared" si="3"/>
        <v>162471.20000000001</v>
      </c>
      <c r="F11" s="12">
        <f t="shared" si="3"/>
        <v>718849.44000000006</v>
      </c>
      <c r="G11" s="12">
        <f t="shared" si="0"/>
        <v>7283302.0500000007</v>
      </c>
    </row>
    <row r="12" spans="1:8" x14ac:dyDescent="0.25">
      <c r="G12" s="1" t="b">
        <f>G11=B51</f>
        <v>1</v>
      </c>
    </row>
    <row r="14" spans="1:8" x14ac:dyDescent="0.25">
      <c r="A14" t="s">
        <v>12</v>
      </c>
      <c r="B14" s="2">
        <v>2293</v>
      </c>
    </row>
    <row r="15" spans="1:8" x14ac:dyDescent="0.25">
      <c r="A15" t="s">
        <v>11</v>
      </c>
      <c r="B15" s="2">
        <v>94</v>
      </c>
    </row>
    <row r="16" spans="1:8" x14ac:dyDescent="0.25">
      <c r="A16" t="s">
        <v>13</v>
      </c>
      <c r="B16" s="2">
        <v>55</v>
      </c>
    </row>
    <row r="17" spans="1:4" x14ac:dyDescent="0.25">
      <c r="A17" t="s">
        <v>1</v>
      </c>
      <c r="B17" s="2">
        <f>SUM(B14:B16)</f>
        <v>2442</v>
      </c>
    </row>
    <row r="18" spans="1:4" x14ac:dyDescent="0.25">
      <c r="B18" s="2"/>
    </row>
    <row r="19" spans="1:4" x14ac:dyDescent="0.25">
      <c r="A19" t="s">
        <v>25</v>
      </c>
      <c r="B19" s="2"/>
    </row>
    <row r="20" spans="1:4" x14ac:dyDescent="0.25">
      <c r="A20" t="s">
        <v>4</v>
      </c>
      <c r="B20" s="2">
        <v>439318.49701576564</v>
      </c>
    </row>
    <row r="21" spans="1:4" x14ac:dyDescent="0.25">
      <c r="A21" t="s">
        <v>5</v>
      </c>
      <c r="B21" s="2">
        <v>258286.43514844368</v>
      </c>
    </row>
    <row r="22" spans="1:4" x14ac:dyDescent="0.25">
      <c r="A22" t="s">
        <v>6</v>
      </c>
      <c r="B22" s="2">
        <v>87313.564551427975</v>
      </c>
    </row>
    <row r="23" spans="1:4" x14ac:dyDescent="0.25">
      <c r="A23" t="s">
        <v>7</v>
      </c>
      <c r="B23" s="2">
        <v>164705.66094762908</v>
      </c>
    </row>
    <row r="24" spans="1:4" x14ac:dyDescent="0.25">
      <c r="A24" t="s">
        <v>8</v>
      </c>
      <c r="B24" s="2">
        <v>219171.35483773914</v>
      </c>
    </row>
    <row r="25" spans="1:4" x14ac:dyDescent="0.25">
      <c r="A25" t="s">
        <v>9</v>
      </c>
      <c r="B25" s="2">
        <v>194096.47749899462</v>
      </c>
    </row>
    <row r="26" spans="1:4" x14ac:dyDescent="0.25">
      <c r="A26" t="s">
        <v>10</v>
      </c>
      <c r="B26" s="7">
        <f>SUM(B20:B25)</f>
        <v>1362891.9900000002</v>
      </c>
      <c r="C26" s="2">
        <f>B26-1345993.14</f>
        <v>16898.850000000326</v>
      </c>
      <c r="D26" s="6"/>
    </row>
    <row r="27" spans="1:4" x14ac:dyDescent="0.25">
      <c r="B27" s="2"/>
      <c r="C27" s="2"/>
    </row>
    <row r="28" spans="1:4" x14ac:dyDescent="0.25">
      <c r="A28" s="3" t="s">
        <v>26</v>
      </c>
      <c r="B28" s="8">
        <f>421255.97-C26</f>
        <v>404357.11999999965</v>
      </c>
      <c r="C28" s="2"/>
    </row>
    <row r="29" spans="1:4" x14ac:dyDescent="0.25">
      <c r="A29" s="3" t="s">
        <v>29</v>
      </c>
      <c r="B29" s="13">
        <v>16785.599999999999</v>
      </c>
      <c r="C29" s="15">
        <f>B28+B29</f>
        <v>421142.71999999962</v>
      </c>
    </row>
    <row r="30" spans="1:4" x14ac:dyDescent="0.25">
      <c r="A30" s="4" t="s">
        <v>37</v>
      </c>
      <c r="B30" s="8">
        <v>92587</v>
      </c>
      <c r="C30" s="2"/>
    </row>
    <row r="31" spans="1:4" x14ac:dyDescent="0.25">
      <c r="A31" s="4" t="s">
        <v>38</v>
      </c>
      <c r="B31" s="8">
        <v>98779.98</v>
      </c>
      <c r="C31" s="2"/>
    </row>
    <row r="32" spans="1:4" x14ac:dyDescent="0.25">
      <c r="A32" s="4" t="s">
        <v>39</v>
      </c>
      <c r="B32" s="8">
        <v>6825.32</v>
      </c>
      <c r="C32" s="2"/>
    </row>
    <row r="33" spans="1:3" x14ac:dyDescent="0.25">
      <c r="A33" s="4" t="s">
        <v>43</v>
      </c>
      <c r="B33" s="8">
        <f>4294716.42-B34</f>
        <v>3418067.62</v>
      </c>
      <c r="C33" s="7"/>
    </row>
    <row r="34" spans="1:3" x14ac:dyDescent="0.25">
      <c r="A34" s="4" t="s">
        <v>44</v>
      </c>
      <c r="B34" s="17">
        <f>0+876648.8</f>
        <v>876648.8</v>
      </c>
      <c r="C34" s="15">
        <f>B30+B31+B32+B33+B34</f>
        <v>4492908.72</v>
      </c>
    </row>
    <row r="35" spans="1:3" x14ac:dyDescent="0.25">
      <c r="A35" s="3" t="s">
        <v>47</v>
      </c>
      <c r="B35" s="18">
        <f>107794.43+17146.05</f>
        <v>124940.48</v>
      </c>
      <c r="C35" s="2"/>
    </row>
    <row r="36" spans="1:3" x14ac:dyDescent="0.25">
      <c r="A36" s="3" t="s">
        <v>35</v>
      </c>
      <c r="B36" s="8">
        <v>0</v>
      </c>
      <c r="C36" s="2"/>
    </row>
    <row r="37" spans="1:3" x14ac:dyDescent="0.25">
      <c r="A37" s="3" t="s">
        <v>36</v>
      </c>
      <c r="B37" s="13">
        <v>0</v>
      </c>
      <c r="C37" s="15">
        <f>B35+B36+B37</f>
        <v>124940.48</v>
      </c>
    </row>
    <row r="38" spans="1:3" x14ac:dyDescent="0.25">
      <c r="A38" s="4" t="s">
        <v>28</v>
      </c>
      <c r="B38" s="14">
        <v>97.5</v>
      </c>
      <c r="C38" s="16">
        <f>B38</f>
        <v>97.5</v>
      </c>
    </row>
    <row r="39" spans="1:3" x14ac:dyDescent="0.25">
      <c r="A39" s="4"/>
      <c r="B39" s="8"/>
      <c r="C39" s="7"/>
    </row>
    <row r="40" spans="1:3" x14ac:dyDescent="0.25">
      <c r="A40" s="3" t="s">
        <v>48</v>
      </c>
      <c r="B40" s="8">
        <f>162471.2-B41</f>
        <v>63525.12000000001</v>
      </c>
      <c r="C40" s="2"/>
    </row>
    <row r="41" spans="1:3" x14ac:dyDescent="0.25">
      <c r="A41" s="3" t="s">
        <v>49</v>
      </c>
      <c r="B41" s="13">
        <f>57282.98+41663.1</f>
        <v>98946.08</v>
      </c>
      <c r="C41" s="15">
        <f>B40+B41</f>
        <v>162471.20000000001</v>
      </c>
    </row>
    <row r="42" spans="1:3" x14ac:dyDescent="0.25">
      <c r="A42" s="4" t="s">
        <v>30</v>
      </c>
      <c r="B42" s="8">
        <v>292573.3</v>
      </c>
      <c r="C42" s="2"/>
    </row>
    <row r="43" spans="1:3" x14ac:dyDescent="0.25">
      <c r="A43" s="4" t="s">
        <v>31</v>
      </c>
      <c r="B43" s="8">
        <v>0</v>
      </c>
      <c r="C43" s="2"/>
    </row>
    <row r="44" spans="1:3" x14ac:dyDescent="0.25">
      <c r="A44" s="4" t="s">
        <v>32</v>
      </c>
      <c r="B44" s="8">
        <v>16916.400000000001</v>
      </c>
      <c r="C44" s="2"/>
    </row>
    <row r="45" spans="1:3" x14ac:dyDescent="0.25">
      <c r="A45" s="4" t="s">
        <v>33</v>
      </c>
      <c r="B45" s="8">
        <v>40.57</v>
      </c>
      <c r="C45" s="2"/>
    </row>
    <row r="46" spans="1:3" x14ac:dyDescent="0.25">
      <c r="A46" s="4" t="s">
        <v>34</v>
      </c>
      <c r="B46" s="13">
        <f>588526.73-196530.74</f>
        <v>391995.99</v>
      </c>
      <c r="C46" s="15">
        <f>SUM(B42:B46)</f>
        <v>701526.26</v>
      </c>
    </row>
    <row r="47" spans="1:3" x14ac:dyDescent="0.25">
      <c r="A47" s="4" t="s">
        <v>1</v>
      </c>
      <c r="B47" s="9">
        <f>SUM(B28:B46)</f>
        <v>5903086.8800000008</v>
      </c>
      <c r="C47" s="9">
        <f>SUM(C28:C46)</f>
        <v>5903086.8799999999</v>
      </c>
    </row>
    <row r="48" spans="1:3" x14ac:dyDescent="0.25">
      <c r="C48" s="2"/>
    </row>
    <row r="49" spans="1:3" x14ac:dyDescent="0.25">
      <c r="A49" s="5" t="s">
        <v>41</v>
      </c>
      <c r="B49" s="8">
        <f>B47+B26</f>
        <v>7265978.870000001</v>
      </c>
      <c r="C49" s="2"/>
    </row>
    <row r="50" spans="1:3" x14ac:dyDescent="0.25">
      <c r="A50" s="5" t="s">
        <v>40</v>
      </c>
      <c r="B50" s="8">
        <f>8658.7+8664.48</f>
        <v>17323.18</v>
      </c>
      <c r="C50" s="2"/>
    </row>
    <row r="51" spans="1:3" x14ac:dyDescent="0.25">
      <c r="A51" s="5" t="s">
        <v>42</v>
      </c>
      <c r="B51" s="8">
        <f>B49+B50</f>
        <v>7283302.0500000007</v>
      </c>
    </row>
    <row r="52" spans="1:3" x14ac:dyDescent="0.25">
      <c r="B52" s="8"/>
    </row>
    <row r="53" spans="1:3" x14ac:dyDescent="0.25">
      <c r="B53" s="6">
        <f>B51-7479832.79+196530.74</f>
        <v>6.9849193096160889E-10</v>
      </c>
    </row>
  </sheetData>
  <pageMargins left="0.7" right="0.7" top="0.75" bottom="0.75" header="0.3" footer="0.3"/>
  <pageSetup paperSize="9" scale="76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7CE33-22FC-4A6E-A3D2-0950312FC9B3}">
  <dimension ref="A1:H53"/>
  <sheetViews>
    <sheetView zoomScaleNormal="100" workbookViewId="0">
      <selection sqref="A1:XFD1048576"/>
    </sheetView>
  </sheetViews>
  <sheetFormatPr defaultRowHeight="15" x14ac:dyDescent="0.25"/>
  <cols>
    <col min="1" max="1" width="52.42578125" customWidth="1"/>
    <col min="2" max="2" width="18.85546875" bestFit="1" customWidth="1"/>
    <col min="3" max="5" width="18.85546875" customWidth="1"/>
    <col min="6" max="6" width="25.140625" customWidth="1"/>
    <col min="7" max="7" width="18.85546875" customWidth="1"/>
    <col min="8" max="8" width="12" bestFit="1" customWidth="1"/>
  </cols>
  <sheetData>
    <row r="1" spans="1:8" x14ac:dyDescent="0.25">
      <c r="A1" s="10" t="s">
        <v>0</v>
      </c>
      <c r="B1" s="11" t="s">
        <v>22</v>
      </c>
      <c r="C1" s="11" t="s">
        <v>23</v>
      </c>
      <c r="D1" s="11" t="s">
        <v>24</v>
      </c>
      <c r="E1" s="11" t="s">
        <v>46</v>
      </c>
      <c r="F1" s="11" t="s">
        <v>45</v>
      </c>
      <c r="G1" s="11" t="s">
        <v>1</v>
      </c>
    </row>
    <row r="2" spans="1:8" x14ac:dyDescent="0.25">
      <c r="A2" t="s">
        <v>14</v>
      </c>
      <c r="B2" s="1">
        <f>(B20+B21)/B17*B14</f>
        <v>702881.41197338118</v>
      </c>
      <c r="C2" s="1">
        <f>$C$29/$B$11*B2</f>
        <v>205064.7162377013</v>
      </c>
      <c r="D2" s="1">
        <f>B33</f>
        <v>3442488.4000000004</v>
      </c>
      <c r="E2" s="1">
        <v>0</v>
      </c>
      <c r="F2" s="1">
        <f>(($C$46+$B$50)/($C$11+$D$11+$E$11)*(C2+D2+E2))</f>
        <v>438172.18729283335</v>
      </c>
      <c r="G2" s="1">
        <f>SUM(B2:F2)</f>
        <v>4788606.7155039161</v>
      </c>
      <c r="H2" s="1"/>
    </row>
    <row r="3" spans="1:8" x14ac:dyDescent="0.25">
      <c r="A3" t="s">
        <v>21</v>
      </c>
      <c r="B3" s="1">
        <f>(B24+B25)/B17*B14</f>
        <v>408383.1773056619</v>
      </c>
      <c r="C3" s="1">
        <f>$C$29/$B$11*B3</f>
        <v>119145.24832192877</v>
      </c>
      <c r="D3" s="1">
        <f>B34</f>
        <v>968363.32999999984</v>
      </c>
      <c r="E3" s="1">
        <v>0</v>
      </c>
      <c r="F3" s="1">
        <f>(($C$46+$B$50)/($C$11+$D$11+$E$11)*(C3+D3+E3))</f>
        <v>130639.91044893824</v>
      </c>
      <c r="G3" s="1">
        <f t="shared" ref="G3:G11" si="0">SUM(B3:F3)</f>
        <v>1626531.6660765286</v>
      </c>
    </row>
    <row r="4" spans="1:8" x14ac:dyDescent="0.25">
      <c r="A4" t="s">
        <v>15</v>
      </c>
      <c r="B4" s="1">
        <f>B2+B3</f>
        <v>1111264.589279043</v>
      </c>
      <c r="C4" s="1">
        <f t="shared" ref="C4:F4" si="1">C2+C3</f>
        <v>324209.96455963008</v>
      </c>
      <c r="D4" s="1">
        <f t="shared" si="1"/>
        <v>4410851.7300000004</v>
      </c>
      <c r="E4" s="1">
        <f t="shared" si="1"/>
        <v>0</v>
      </c>
      <c r="F4" s="1">
        <f t="shared" si="1"/>
        <v>568812.09774177161</v>
      </c>
      <c r="G4" s="1">
        <f t="shared" si="0"/>
        <v>6415138.381580445</v>
      </c>
    </row>
    <row r="5" spans="1:8" x14ac:dyDescent="0.25">
      <c r="A5" t="s">
        <v>2</v>
      </c>
      <c r="B5" s="1">
        <f>(B20+B21+B24+B25)/B17*B15</f>
        <v>45476.21741063564</v>
      </c>
      <c r="C5" s="1">
        <f>$C$29/$B$11*B5</f>
        <v>13267.625889684472</v>
      </c>
      <c r="D5" s="1">
        <f>B30+B31+B32</f>
        <v>115389.03</v>
      </c>
      <c r="E5" s="1">
        <f>B40</f>
        <v>64850.140000000014</v>
      </c>
      <c r="F5" s="1">
        <f>(($C$46+$B$50)/($C$11+$D$11+$E$11)*(C5+D5+E5))</f>
        <v>23245.527428663601</v>
      </c>
      <c r="G5" s="1">
        <f t="shared" si="0"/>
        <v>262228.54072898376</v>
      </c>
    </row>
    <row r="6" spans="1:8" x14ac:dyDescent="0.25">
      <c r="A6" t="s">
        <v>16</v>
      </c>
      <c r="B6" s="1">
        <f>(B20+B21+B24+B25)/B17*B16</f>
        <v>26608.425080691068</v>
      </c>
      <c r="C6" s="1">
        <f>$C$29/$B$11*B6</f>
        <v>7762.9725950281481</v>
      </c>
      <c r="D6" s="1">
        <v>0</v>
      </c>
      <c r="E6" s="1">
        <f>B41</f>
        <v>100010.04999999999</v>
      </c>
      <c r="F6" s="1">
        <f>(($C$46+$B$50)/($C$11+$D$11+$E$11)*(C6+D6+E6))</f>
        <v>12946.525941295165</v>
      </c>
      <c r="G6" s="1">
        <f t="shared" si="0"/>
        <v>147327.97361701439</v>
      </c>
    </row>
    <row r="7" spans="1:8" x14ac:dyDescent="0.25">
      <c r="A7" t="s">
        <v>17</v>
      </c>
      <c r="B7" s="1">
        <v>0</v>
      </c>
      <c r="C7" s="1">
        <f>$C$29/$B$11*B7</f>
        <v>0</v>
      </c>
      <c r="D7" s="1">
        <f>C37</f>
        <v>131854.51</v>
      </c>
      <c r="E7" s="1">
        <v>0</v>
      </c>
      <c r="F7" s="1">
        <f>(($C$46+$B$50)/($C$11+$D$11+$E$11)*(C7+D7+E7))</f>
        <v>15839.379773231991</v>
      </c>
      <c r="G7" s="1">
        <f t="shared" si="0"/>
        <v>147693.88977323199</v>
      </c>
    </row>
    <row r="8" spans="1:8" x14ac:dyDescent="0.25">
      <c r="A8" t="s">
        <v>18</v>
      </c>
      <c r="B8" s="1">
        <f>B22</f>
        <v>92890.435889737942</v>
      </c>
      <c r="C8" s="1">
        <f>$C$29/$B$11*B8</f>
        <v>27100.661011144912</v>
      </c>
      <c r="D8" s="1">
        <f>C38</f>
        <v>0</v>
      </c>
      <c r="E8" s="1">
        <v>0</v>
      </c>
      <c r="F8" s="1">
        <f>(($C$46+$B$50)/($C$11+$D$11+$E$11)*(C8+D8+E8))</f>
        <v>3255.5402303732008</v>
      </c>
      <c r="G8" s="1">
        <f t="shared" si="0"/>
        <v>123246.63713125605</v>
      </c>
    </row>
    <row r="9" spans="1:8" x14ac:dyDescent="0.25">
      <c r="A9" t="s">
        <v>19</v>
      </c>
      <c r="B9" s="1">
        <f>B23</f>
        <v>163931.94233989215</v>
      </c>
      <c r="C9" s="1">
        <f>$C$29/$B$11*B9</f>
        <v>47826.925944512375</v>
      </c>
      <c r="D9" s="1">
        <v>0</v>
      </c>
      <c r="E9" s="1">
        <v>0</v>
      </c>
      <c r="F9" s="1">
        <f>(($C$46+$B$50)/($C$11+$D$11+$E$11)*(C9+D9+E9))</f>
        <v>5745.3388846644193</v>
      </c>
      <c r="G9" s="1">
        <f t="shared" si="0"/>
        <v>217504.20716906892</v>
      </c>
    </row>
    <row r="10" spans="1:8" x14ac:dyDescent="0.25">
      <c r="A10" t="s">
        <v>20</v>
      </c>
      <c r="B10" s="1">
        <f>B5+B6+B7+B8+B9</f>
        <v>328907.02072095679</v>
      </c>
      <c r="C10" s="1">
        <f t="shared" ref="C10:F10" si="2">C5+C6+C7+C8+C9</f>
        <v>95958.185440369911</v>
      </c>
      <c r="D10" s="1">
        <f t="shared" si="2"/>
        <v>247243.54</v>
      </c>
      <c r="E10" s="1">
        <f t="shared" si="2"/>
        <v>164860.19</v>
      </c>
      <c r="F10" s="1">
        <f t="shared" si="2"/>
        <v>61032.312258228383</v>
      </c>
      <c r="G10" s="1">
        <f t="shared" si="0"/>
        <v>898001.24841955514</v>
      </c>
    </row>
    <row r="11" spans="1:8" x14ac:dyDescent="0.25">
      <c r="A11" s="10" t="s">
        <v>3</v>
      </c>
      <c r="B11" s="12">
        <f>B10+B4</f>
        <v>1440171.6099999999</v>
      </c>
      <c r="C11" s="12">
        <f t="shared" ref="C11:F11" si="3">C10+C4</f>
        <v>420168.15</v>
      </c>
      <c r="D11" s="12">
        <f t="shared" si="3"/>
        <v>4658095.2700000005</v>
      </c>
      <c r="E11" s="12">
        <f t="shared" si="3"/>
        <v>164860.19</v>
      </c>
      <c r="F11" s="12">
        <f t="shared" si="3"/>
        <v>629844.41</v>
      </c>
      <c r="G11" s="12">
        <f t="shared" si="0"/>
        <v>7313139.6300000008</v>
      </c>
      <c r="H11" s="12" t="b">
        <f>G11=B51</f>
        <v>1</v>
      </c>
    </row>
    <row r="12" spans="1:8" x14ac:dyDescent="0.25">
      <c r="G12" s="1"/>
    </row>
    <row r="14" spans="1:8" x14ac:dyDescent="0.25">
      <c r="A14" t="s">
        <v>12</v>
      </c>
      <c r="B14" s="2">
        <f>[1]AlloggiALL!$H$37+[1]AlloggiALL!$I$37</f>
        <v>2297</v>
      </c>
    </row>
    <row r="15" spans="1:8" x14ac:dyDescent="0.25">
      <c r="A15" t="s">
        <v>11</v>
      </c>
      <c r="B15" s="2">
        <f>[1]AlloggiALL!$B$37+[1]AlloggiALL!$F$37+[1]AlloggiALL!$G$37</f>
        <v>94</v>
      </c>
    </row>
    <row r="16" spans="1:8" x14ac:dyDescent="0.25">
      <c r="A16" t="s">
        <v>13</v>
      </c>
      <c r="B16" s="2">
        <f>[1]AlloggiALL!$C$37+[1]AlloggiALL!$D$37+[1]AlloggiALL!$E$37+[1]AlloggiALL!$J$37</f>
        <v>55</v>
      </c>
    </row>
    <row r="17" spans="1:8" x14ac:dyDescent="0.25">
      <c r="A17" t="s">
        <v>1</v>
      </c>
      <c r="B17" s="2">
        <f>SUM(B14:B16)</f>
        <v>2446</v>
      </c>
    </row>
    <row r="18" spans="1:8" x14ac:dyDescent="0.25">
      <c r="B18" s="2"/>
    </row>
    <row r="19" spans="1:8" x14ac:dyDescent="0.25">
      <c r="A19" t="s">
        <v>25</v>
      </c>
      <c r="B19" s="2"/>
    </row>
    <row r="20" spans="1:8" x14ac:dyDescent="0.25">
      <c r="A20" t="s">
        <v>4</v>
      </c>
      <c r="B20" s="2">
        <f>[2]RiepPers!B17</f>
        <v>481609.05041212513</v>
      </c>
    </row>
    <row r="21" spans="1:8" x14ac:dyDescent="0.25">
      <c r="A21" t="s">
        <v>5</v>
      </c>
      <c r="B21" s="2">
        <f>[2]RiepPers!B18</f>
        <v>266866.32341760525</v>
      </c>
    </row>
    <row r="22" spans="1:8" x14ac:dyDescent="0.25">
      <c r="A22" t="s">
        <v>6</v>
      </c>
      <c r="B22" s="2">
        <f>[2]RiepPers!B19</f>
        <v>92890.435889737942</v>
      </c>
    </row>
    <row r="23" spans="1:8" x14ac:dyDescent="0.25">
      <c r="A23" t="s">
        <v>52</v>
      </c>
      <c r="B23" s="2">
        <f>[2]RiepPers!B20</f>
        <v>163931.94233989215</v>
      </c>
    </row>
    <row r="24" spans="1:8" x14ac:dyDescent="0.25">
      <c r="A24" t="s">
        <v>50</v>
      </c>
      <c r="B24" s="2">
        <f>[2]RiepPers!B21</f>
        <v>228124.30756232768</v>
      </c>
    </row>
    <row r="25" spans="1:8" x14ac:dyDescent="0.25">
      <c r="A25" t="s">
        <v>51</v>
      </c>
      <c r="B25" s="2">
        <f>[2]RiepPers!B22</f>
        <v>206749.55037831183</v>
      </c>
      <c r="H25" s="6">
        <f>B26-1421602.85</f>
        <v>18568.759999999776</v>
      </c>
    </row>
    <row r="26" spans="1:8" x14ac:dyDescent="0.25">
      <c r="A26" t="s">
        <v>10</v>
      </c>
      <c r="B26" s="7">
        <f>SUM(B20:B25)</f>
        <v>1440171.6099999999</v>
      </c>
      <c r="C26" s="2"/>
      <c r="D26" s="6"/>
    </row>
    <row r="27" spans="1:8" x14ac:dyDescent="0.25">
      <c r="B27" s="2"/>
      <c r="C27" s="2"/>
    </row>
    <row r="28" spans="1:8" x14ac:dyDescent="0.25">
      <c r="A28" s="3" t="s">
        <v>26</v>
      </c>
      <c r="B28" s="8">
        <f>402240.47-H26</f>
        <v>402240.47</v>
      </c>
      <c r="C28" s="2"/>
    </row>
    <row r="29" spans="1:8" x14ac:dyDescent="0.25">
      <c r="A29" s="3" t="s">
        <v>29</v>
      </c>
      <c r="B29" s="13">
        <v>17927.68</v>
      </c>
      <c r="C29" s="15">
        <f>B28+B29</f>
        <v>420168.14999999997</v>
      </c>
    </row>
    <row r="30" spans="1:8" x14ac:dyDescent="0.25">
      <c r="A30" s="4" t="s">
        <v>37</v>
      </c>
      <c r="B30" s="8">
        <v>46397.21</v>
      </c>
      <c r="C30" s="2"/>
    </row>
    <row r="31" spans="1:8" x14ac:dyDescent="0.25">
      <c r="A31" s="4" t="s">
        <v>38</v>
      </c>
      <c r="B31" s="8">
        <v>62023.22</v>
      </c>
      <c r="C31" s="2"/>
    </row>
    <row r="32" spans="1:8" x14ac:dyDescent="0.25">
      <c r="A32" s="4" t="s">
        <v>39</v>
      </c>
      <c r="B32" s="8">
        <v>6968.6</v>
      </c>
      <c r="C32" s="2"/>
    </row>
    <row r="33" spans="1:3" x14ac:dyDescent="0.25">
      <c r="A33" s="4" t="s">
        <v>43</v>
      </c>
      <c r="B33" s="8">
        <f>4411069.79-218.06-B34</f>
        <v>3442488.4000000004</v>
      </c>
      <c r="C33" s="7"/>
    </row>
    <row r="34" spans="1:3" x14ac:dyDescent="0.25">
      <c r="A34" s="4" t="s">
        <v>44</v>
      </c>
      <c r="B34" s="13">
        <f>'[1]Gestione Alloggi'!$N$31</f>
        <v>968363.32999999984</v>
      </c>
      <c r="C34" s="15">
        <f>B30+B31+B32+B33+B34</f>
        <v>4526240.76</v>
      </c>
    </row>
    <row r="35" spans="1:3" x14ac:dyDescent="0.25">
      <c r="A35" s="3" t="s">
        <v>47</v>
      </c>
      <c r="B35" s="8">
        <f>18608.86+113245.65</f>
        <v>131854.51</v>
      </c>
      <c r="C35" s="2"/>
    </row>
    <row r="36" spans="1:3" x14ac:dyDescent="0.25">
      <c r="A36" s="3" t="s">
        <v>35</v>
      </c>
      <c r="B36" s="8">
        <v>0</v>
      </c>
      <c r="C36" s="2"/>
    </row>
    <row r="37" spans="1:3" x14ac:dyDescent="0.25">
      <c r="A37" s="3" t="s">
        <v>36</v>
      </c>
      <c r="B37" s="13">
        <v>0</v>
      </c>
      <c r="C37" s="15">
        <f>B35+B36+B37</f>
        <v>131854.51</v>
      </c>
    </row>
    <row r="38" spans="1:3" x14ac:dyDescent="0.25">
      <c r="A38" s="4" t="s">
        <v>28</v>
      </c>
      <c r="B38" s="14">
        <v>0</v>
      </c>
      <c r="C38" s="16">
        <f>B38</f>
        <v>0</v>
      </c>
    </row>
    <row r="39" spans="1:3" x14ac:dyDescent="0.25">
      <c r="A39" s="4"/>
      <c r="B39" s="8"/>
      <c r="C39" s="7"/>
    </row>
    <row r="40" spans="1:3" x14ac:dyDescent="0.25">
      <c r="A40" s="3" t="s">
        <v>48</v>
      </c>
      <c r="B40" s="8">
        <f>164860.19-B41</f>
        <v>64850.140000000014</v>
      </c>
      <c r="C40" s="2"/>
    </row>
    <row r="41" spans="1:3" x14ac:dyDescent="0.25">
      <c r="A41" s="3" t="s">
        <v>49</v>
      </c>
      <c r="B41" s="13">
        <f>58346.95+41663.1</f>
        <v>100010.04999999999</v>
      </c>
      <c r="C41" s="15">
        <f>B40+B41</f>
        <v>164860.19</v>
      </c>
    </row>
    <row r="42" spans="1:3" x14ac:dyDescent="0.25">
      <c r="A42" s="4" t="s">
        <v>30</v>
      </c>
      <c r="B42" s="8">
        <v>178870.94</v>
      </c>
      <c r="C42" s="2"/>
    </row>
    <row r="43" spans="1:3" x14ac:dyDescent="0.25">
      <c r="A43" s="4" t="s">
        <v>31</v>
      </c>
      <c r="B43" s="8">
        <v>0</v>
      </c>
      <c r="C43" s="2"/>
    </row>
    <row r="44" spans="1:3" x14ac:dyDescent="0.25">
      <c r="A44" s="4" t="s">
        <v>32</v>
      </c>
      <c r="B44" s="8">
        <v>8406.9599999999991</v>
      </c>
      <c r="C44" s="2"/>
    </row>
    <row r="45" spans="1:3" x14ac:dyDescent="0.25">
      <c r="A45" s="4" t="s">
        <v>33</v>
      </c>
      <c r="B45" s="8">
        <v>0</v>
      </c>
      <c r="C45" s="2"/>
    </row>
    <row r="46" spans="1:3" x14ac:dyDescent="0.25">
      <c r="A46" s="4" t="s">
        <v>34</v>
      </c>
      <c r="B46" s="13">
        <f>643089.48-209466.26</f>
        <v>433623.22</v>
      </c>
      <c r="C46" s="15">
        <f>SUM(B42:B46)</f>
        <v>620901.12</v>
      </c>
    </row>
    <row r="47" spans="1:3" x14ac:dyDescent="0.25">
      <c r="A47" s="4" t="s">
        <v>1</v>
      </c>
      <c r="B47" s="9">
        <f>SUM(B28:B46)</f>
        <v>5864024.7299999995</v>
      </c>
      <c r="C47" s="9">
        <f>SUM(C28:C46)</f>
        <v>5864024.7300000004</v>
      </c>
    </row>
    <row r="48" spans="1:3" x14ac:dyDescent="0.25">
      <c r="C48" s="2"/>
    </row>
    <row r="49" spans="1:3" x14ac:dyDescent="0.25">
      <c r="A49" s="5" t="s">
        <v>41</v>
      </c>
      <c r="B49" s="8">
        <f>B47+B26</f>
        <v>7304196.3399999999</v>
      </c>
      <c r="C49" s="2"/>
    </row>
    <row r="50" spans="1:3" x14ac:dyDescent="0.25">
      <c r="A50" s="5" t="s">
        <v>40</v>
      </c>
      <c r="B50" s="8">
        <f>6495.71+2447.58</f>
        <v>8943.2900000000009</v>
      </c>
      <c r="C50" s="2"/>
    </row>
    <row r="51" spans="1:3" x14ac:dyDescent="0.25">
      <c r="A51" s="5" t="s">
        <v>42</v>
      </c>
      <c r="B51" s="8">
        <f>B49+B50</f>
        <v>7313139.6299999999</v>
      </c>
    </row>
    <row r="52" spans="1:3" x14ac:dyDescent="0.25">
      <c r="B52" s="8"/>
    </row>
    <row r="53" spans="1:3" x14ac:dyDescent="0.25">
      <c r="B53" s="6">
        <f>B51-7504255.19+209684.32</f>
        <v>18568.759999999485</v>
      </c>
    </row>
  </sheetData>
  <pageMargins left="0.7" right="0.7" top="0.75" bottom="0.75" header="0.3" footer="0.3"/>
  <pageSetup paperSize="9" scale="6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23208-1BA0-4F6A-9A80-E0A8930F345C}">
  <dimension ref="A1:H53"/>
  <sheetViews>
    <sheetView zoomScaleNormal="100" workbookViewId="0">
      <selection activeCell="C16" sqref="C16"/>
    </sheetView>
  </sheetViews>
  <sheetFormatPr defaultRowHeight="15" x14ac:dyDescent="0.25"/>
  <cols>
    <col min="1" max="1" width="52.42578125" customWidth="1"/>
    <col min="2" max="2" width="18.85546875" bestFit="1" customWidth="1"/>
    <col min="3" max="5" width="18.85546875" customWidth="1"/>
    <col min="6" max="6" width="25.140625" customWidth="1"/>
    <col min="7" max="7" width="18.85546875" customWidth="1"/>
    <col min="8" max="8" width="13.140625" bestFit="1" customWidth="1"/>
  </cols>
  <sheetData>
    <row r="1" spans="1:8" x14ac:dyDescent="0.25">
      <c r="A1" s="10" t="s">
        <v>0</v>
      </c>
      <c r="B1" s="11" t="s">
        <v>22</v>
      </c>
      <c r="C1" s="11" t="s">
        <v>23</v>
      </c>
      <c r="D1" s="11" t="s">
        <v>24</v>
      </c>
      <c r="E1" s="11" t="s">
        <v>46</v>
      </c>
      <c r="F1" s="11" t="s">
        <v>45</v>
      </c>
      <c r="G1" s="11" t="s">
        <v>1</v>
      </c>
    </row>
    <row r="2" spans="1:8" x14ac:dyDescent="0.25">
      <c r="A2" t="s">
        <v>14</v>
      </c>
      <c r="B2" s="1">
        <f>(B20+B21)/B17*B14</f>
        <v>733404.73496962478</v>
      </c>
      <c r="C2" s="1">
        <f>$C$29/$B$11*B2</f>
        <v>192530.27399427176</v>
      </c>
      <c r="D2" s="1">
        <f>B33</f>
        <v>3531828.66</v>
      </c>
      <c r="E2" s="1">
        <v>0</v>
      </c>
      <c r="F2" s="1">
        <f>(($C$46+$B$50)/($C$11+$D$11+$E$11)*(C2+D2+E2))</f>
        <v>339903.92372872174</v>
      </c>
      <c r="G2" s="1">
        <f>SUM(B2:F2)</f>
        <v>4797667.5926926192</v>
      </c>
      <c r="H2" s="1"/>
    </row>
    <row r="3" spans="1:8" x14ac:dyDescent="0.25">
      <c r="A3" t="s">
        <v>21</v>
      </c>
      <c r="B3" s="1">
        <f>(B24+B25)/B17*B14</f>
        <v>438571.5326909711</v>
      </c>
      <c r="C3" s="1">
        <f>$C$29/$B$11*B3</f>
        <v>115131.9228373642</v>
      </c>
      <c r="D3" s="1">
        <f>B34</f>
        <v>927049.91</v>
      </c>
      <c r="E3" s="1">
        <v>0</v>
      </c>
      <c r="F3" s="1">
        <f>(($C$46+$B$50)/($C$11+$D$11+$E$11)*(C3+D3+E3))</f>
        <v>95114.810494459103</v>
      </c>
      <c r="G3" s="1">
        <f t="shared" ref="G3:G11" si="0">SUM(B3:F3)</f>
        <v>1575868.1760227943</v>
      </c>
    </row>
    <row r="4" spans="1:8" x14ac:dyDescent="0.25">
      <c r="A4" t="s">
        <v>15</v>
      </c>
      <c r="B4" s="1">
        <f>B2+B3</f>
        <v>1171976.2676605959</v>
      </c>
      <c r="C4" s="1">
        <f t="shared" ref="C4:F4" si="1">C2+C3</f>
        <v>307662.19683163596</v>
      </c>
      <c r="D4" s="1">
        <f t="shared" si="1"/>
        <v>4458878.57</v>
      </c>
      <c r="E4" s="1">
        <f t="shared" si="1"/>
        <v>0</v>
      </c>
      <c r="F4" s="1">
        <f t="shared" si="1"/>
        <v>435018.73422318086</v>
      </c>
      <c r="G4" s="1">
        <f t="shared" si="0"/>
        <v>6373535.7687154124</v>
      </c>
    </row>
    <row r="5" spans="1:8" x14ac:dyDescent="0.25">
      <c r="A5" t="s">
        <v>2</v>
      </c>
      <c r="B5" s="1">
        <f>(B20+B21+B24+B25)/B17*B15</f>
        <v>47939.847328153177</v>
      </c>
      <c r="C5" s="1">
        <f>$C$29/$B$11*B5</f>
        <v>12584.963665001644</v>
      </c>
      <c r="D5" s="1">
        <f>B30+B31+B32</f>
        <v>186660.51</v>
      </c>
      <c r="E5" s="1">
        <f>B40</f>
        <v>66175.120000000024</v>
      </c>
      <c r="F5" s="1">
        <f>(($C$46+$B$50)/($C$11+$D$11+$E$11)*(C5+D5+E5))</f>
        <v>24223.632261025123</v>
      </c>
      <c r="G5" s="1">
        <f t="shared" si="0"/>
        <v>337584.07325418002</v>
      </c>
    </row>
    <row r="6" spans="1:8" x14ac:dyDescent="0.25">
      <c r="A6" t="s">
        <v>16</v>
      </c>
      <c r="B6" s="1">
        <f>(B20+B21+B24+B25)/B17*B16</f>
        <v>28049.910670727924</v>
      </c>
      <c r="C6" s="1">
        <f>$C$29/$B$11*B6</f>
        <v>7363.5425699477701</v>
      </c>
      <c r="D6" s="1">
        <v>0</v>
      </c>
      <c r="E6" s="1">
        <f>B41</f>
        <v>100010.04999999999</v>
      </c>
      <c r="F6" s="1">
        <f>(($C$46+$B$50)/($C$11+$D$11+$E$11)*(C6+D6+E6))</f>
        <v>9799.459736882196</v>
      </c>
      <c r="G6" s="1">
        <f t="shared" si="0"/>
        <v>145222.96297755785</v>
      </c>
    </row>
    <row r="7" spans="1:8" x14ac:dyDescent="0.25">
      <c r="A7" t="s">
        <v>17</v>
      </c>
      <c r="B7" s="1">
        <v>0</v>
      </c>
      <c r="C7" s="1">
        <f>$C$29/$B$11*B7</f>
        <v>0</v>
      </c>
      <c r="D7" s="1">
        <f>C37</f>
        <v>105172</v>
      </c>
      <c r="E7" s="1">
        <v>0</v>
      </c>
      <c r="F7" s="1">
        <f>(($C$46+$B$50)/($C$11+$D$11+$E$11)*(C7+D7+E7))</f>
        <v>9598.5312103250963</v>
      </c>
      <c r="G7" s="1">
        <f t="shared" si="0"/>
        <v>114770.53121032509</v>
      </c>
    </row>
    <row r="8" spans="1:8" x14ac:dyDescent="0.25">
      <c r="A8" t="s">
        <v>18</v>
      </c>
      <c r="B8" s="1">
        <f>B22</f>
        <v>98891.006927954993</v>
      </c>
      <c r="C8" s="1">
        <f>$C$29/$B$11*B8</f>
        <v>25960.444147114969</v>
      </c>
      <c r="D8" s="1">
        <f>C38</f>
        <v>0</v>
      </c>
      <c r="E8" s="1">
        <v>0</v>
      </c>
      <c r="F8" s="1">
        <f>(($C$46+$B$50)/($C$11+$D$11+$E$11)*(C8+D8+E8))</f>
        <v>2369.2820653784706</v>
      </c>
      <c r="G8" s="1">
        <f t="shared" si="0"/>
        <v>127220.73314044843</v>
      </c>
    </row>
    <row r="9" spans="1:8" x14ac:dyDescent="0.25">
      <c r="A9" t="s">
        <v>19</v>
      </c>
      <c r="B9" s="1">
        <f>B23</f>
        <v>181765.84741256811</v>
      </c>
      <c r="C9" s="1">
        <f>$C$29/$B$11*B9</f>
        <v>47716.39278629981</v>
      </c>
      <c r="D9" s="1">
        <v>0</v>
      </c>
      <c r="E9" s="1">
        <v>0</v>
      </c>
      <c r="F9" s="1">
        <f>(($C$46+$B$50)/($C$11+$D$11+$E$11)*(C9+D9+E9))</f>
        <v>4354.8405032083638</v>
      </c>
      <c r="G9" s="1">
        <f t="shared" si="0"/>
        <v>233837.08070207629</v>
      </c>
    </row>
    <row r="10" spans="1:8" x14ac:dyDescent="0.25">
      <c r="A10" t="s">
        <v>20</v>
      </c>
      <c r="B10" s="1">
        <f>B5+B6+B7+B8+B9</f>
        <v>356646.61233940418</v>
      </c>
      <c r="C10" s="1">
        <f t="shared" ref="C10:F10" si="2">C5+C6+C7+C8+C9</f>
        <v>93625.343168364197</v>
      </c>
      <c r="D10" s="1">
        <f t="shared" si="2"/>
        <v>291832.51</v>
      </c>
      <c r="E10" s="1">
        <f t="shared" si="2"/>
        <v>166185.17000000001</v>
      </c>
      <c r="F10" s="1">
        <f t="shared" si="2"/>
        <v>50345.745776819254</v>
      </c>
      <c r="G10" s="1">
        <f t="shared" si="0"/>
        <v>958635.38128458767</v>
      </c>
    </row>
    <row r="11" spans="1:8" x14ac:dyDescent="0.25">
      <c r="A11" s="10" t="s">
        <v>3</v>
      </c>
      <c r="B11" s="12">
        <f>B10+B4</f>
        <v>1528622.8800000001</v>
      </c>
      <c r="C11" s="12">
        <f t="shared" ref="C11:F11" si="3">C10+C4</f>
        <v>401287.54000000015</v>
      </c>
      <c r="D11" s="12">
        <f t="shared" si="3"/>
        <v>4750711.08</v>
      </c>
      <c r="E11" s="12">
        <f t="shared" si="3"/>
        <v>166185.17000000001</v>
      </c>
      <c r="F11" s="12">
        <f t="shared" si="3"/>
        <v>485364.4800000001</v>
      </c>
      <c r="G11" s="12">
        <f t="shared" si="0"/>
        <v>7332171.1500000004</v>
      </c>
      <c r="H11" s="12" t="b">
        <f>G11=B51</f>
        <v>1</v>
      </c>
    </row>
    <row r="12" spans="1:8" x14ac:dyDescent="0.25">
      <c r="G12" s="1"/>
    </row>
    <row r="14" spans="1:8" x14ac:dyDescent="0.25">
      <c r="A14" t="s">
        <v>12</v>
      </c>
      <c r="B14" s="2">
        <f>[3]AlloggiALL!$H$37+[3]AlloggiALL!$I$37</f>
        <v>2298</v>
      </c>
    </row>
    <row r="15" spans="1:8" x14ac:dyDescent="0.25">
      <c r="A15" t="s">
        <v>11</v>
      </c>
      <c r="B15" s="2">
        <f>[3]AlloggiALL!$B$37+[3]AlloggiALL!$F$37+[3]AlloggiALL!$G$37</f>
        <v>94</v>
      </c>
    </row>
    <row r="16" spans="1:8" x14ac:dyDescent="0.25">
      <c r="A16" t="s">
        <v>13</v>
      </c>
      <c r="B16" s="2">
        <f>[3]AlloggiALL!$C$37+[3]AlloggiALL!$D$37+[3]AlloggiALL!$E$37+[3]AlloggiALL!$J$37</f>
        <v>55</v>
      </c>
    </row>
    <row r="17" spans="1:8" x14ac:dyDescent="0.25">
      <c r="A17" t="s">
        <v>1</v>
      </c>
      <c r="B17" s="2">
        <f>SUM(B14:B16)</f>
        <v>2447</v>
      </c>
    </row>
    <row r="18" spans="1:8" x14ac:dyDescent="0.25">
      <c r="B18" s="2"/>
    </row>
    <row r="19" spans="1:8" x14ac:dyDescent="0.25">
      <c r="A19" t="s">
        <v>25</v>
      </c>
      <c r="B19" s="2"/>
    </row>
    <row r="20" spans="1:8" x14ac:dyDescent="0.25">
      <c r="A20" t="s">
        <v>4</v>
      </c>
      <c r="B20" s="2">
        <f>[4]RiepPers!B17</f>
        <v>526600.0544298921</v>
      </c>
    </row>
    <row r="21" spans="1:8" x14ac:dyDescent="0.25">
      <c r="A21" t="s">
        <v>5</v>
      </c>
      <c r="B21" s="2">
        <f>[4]RiepPers!B18</f>
        <v>254357.90312914705</v>
      </c>
    </row>
    <row r="22" spans="1:8" x14ac:dyDescent="0.25">
      <c r="A22" t="s">
        <v>6</v>
      </c>
      <c r="B22" s="2">
        <f>[4]RiepPers!B19</f>
        <v>98891.006927954993</v>
      </c>
    </row>
    <row r="23" spans="1:8" x14ac:dyDescent="0.25">
      <c r="A23" t="s">
        <v>52</v>
      </c>
      <c r="B23" s="2">
        <f>[4]RiepPers!B20</f>
        <v>181765.84741256811</v>
      </c>
    </row>
    <row r="24" spans="1:8" x14ac:dyDescent="0.25">
      <c r="A24" t="s">
        <v>50</v>
      </c>
      <c r="B24" s="2">
        <f>[4]RiepPers!B21</f>
        <v>467008.06810043787</v>
      </c>
    </row>
    <row r="25" spans="1:8" hidden="1" x14ac:dyDescent="0.25">
      <c r="A25" t="s">
        <v>51</v>
      </c>
      <c r="B25" s="2">
        <v>0</v>
      </c>
      <c r="H25" s="6"/>
    </row>
    <row r="26" spans="1:8" x14ac:dyDescent="0.25">
      <c r="A26" t="s">
        <v>10</v>
      </c>
      <c r="B26" s="7">
        <f>SUM(B20:B25)</f>
        <v>1528622.88</v>
      </c>
      <c r="C26" s="2"/>
      <c r="D26" s="6"/>
      <c r="H26" s="6">
        <f>B26-1510949</f>
        <v>17673.879999999888</v>
      </c>
    </row>
    <row r="27" spans="1:8" x14ac:dyDescent="0.25">
      <c r="B27" s="2"/>
      <c r="C27" s="2"/>
    </row>
    <row r="28" spans="1:8" x14ac:dyDescent="0.25">
      <c r="A28" s="3" t="s">
        <v>26</v>
      </c>
      <c r="B28" s="8">
        <f>396127.96-H26</f>
        <v>378454.08000000013</v>
      </c>
      <c r="C28" s="2"/>
    </row>
    <row r="29" spans="1:8" x14ac:dyDescent="0.25">
      <c r="A29" s="3" t="s">
        <v>29</v>
      </c>
      <c r="B29" s="13">
        <v>22833.46</v>
      </c>
      <c r="C29" s="15">
        <f>B28+B29</f>
        <v>401287.54000000015</v>
      </c>
    </row>
    <row r="30" spans="1:8" x14ac:dyDescent="0.25">
      <c r="A30" s="4" t="s">
        <v>37</v>
      </c>
      <c r="B30" s="8">
        <v>53932.71</v>
      </c>
      <c r="C30" s="2"/>
    </row>
    <row r="31" spans="1:8" x14ac:dyDescent="0.25">
      <c r="A31" s="4" t="s">
        <v>38</v>
      </c>
      <c r="B31" s="8">
        <v>125545.8</v>
      </c>
      <c r="C31" s="2"/>
    </row>
    <row r="32" spans="1:8" x14ac:dyDescent="0.25">
      <c r="A32" s="4" t="s">
        <v>39</v>
      </c>
      <c r="B32" s="8">
        <v>7182</v>
      </c>
      <c r="C32" s="2"/>
    </row>
    <row r="33" spans="1:3" x14ac:dyDescent="0.25">
      <c r="A33" s="4" t="s">
        <v>43</v>
      </c>
      <c r="B33" s="8">
        <f>4458878.57-B34</f>
        <v>3531828.66</v>
      </c>
      <c r="C33" s="7"/>
    </row>
    <row r="34" spans="1:3" x14ac:dyDescent="0.25">
      <c r="A34" s="4" t="s">
        <v>44</v>
      </c>
      <c r="B34" s="13">
        <f>'[3]Gestione Alloggi'!$N$31</f>
        <v>927049.91</v>
      </c>
      <c r="C34" s="15">
        <f>B30+B31+B32+B33+B34</f>
        <v>4645539.08</v>
      </c>
    </row>
    <row r="35" spans="1:3" x14ac:dyDescent="0.25">
      <c r="A35" s="3" t="s">
        <v>47</v>
      </c>
      <c r="B35" s="8">
        <f>104028+1144</f>
        <v>105172</v>
      </c>
      <c r="C35" s="2"/>
    </row>
    <row r="36" spans="1:3" x14ac:dyDescent="0.25">
      <c r="A36" s="3" t="s">
        <v>35</v>
      </c>
      <c r="B36" s="8">
        <v>0</v>
      </c>
      <c r="C36" s="2"/>
    </row>
    <row r="37" spans="1:3" x14ac:dyDescent="0.25">
      <c r="A37" s="3" t="s">
        <v>36</v>
      </c>
      <c r="B37" s="13">
        <v>0</v>
      </c>
      <c r="C37" s="15">
        <f>B35+B36+B37</f>
        <v>105172</v>
      </c>
    </row>
    <row r="38" spans="1:3" x14ac:dyDescent="0.25">
      <c r="A38" s="4" t="s">
        <v>28</v>
      </c>
      <c r="B38" s="14">
        <v>0</v>
      </c>
      <c r="C38" s="16">
        <f>B38</f>
        <v>0</v>
      </c>
    </row>
    <row r="39" spans="1:3" x14ac:dyDescent="0.25">
      <c r="A39" s="4"/>
      <c r="B39" s="8"/>
      <c r="C39" s="7"/>
    </row>
    <row r="40" spans="1:3" x14ac:dyDescent="0.25">
      <c r="A40" s="3" t="s">
        <v>48</v>
      </c>
      <c r="B40" s="8">
        <f>166185.17-B41</f>
        <v>66175.120000000024</v>
      </c>
      <c r="C40" s="2"/>
    </row>
    <row r="41" spans="1:3" x14ac:dyDescent="0.25">
      <c r="A41" s="3" t="s">
        <v>49</v>
      </c>
      <c r="B41" s="13">
        <f>58346.95+41663.1</f>
        <v>100010.04999999999</v>
      </c>
      <c r="C41" s="15">
        <f>B40+B41</f>
        <v>166185.17000000001</v>
      </c>
    </row>
    <row r="42" spans="1:3" x14ac:dyDescent="0.25">
      <c r="A42" s="4" t="s">
        <v>30</v>
      </c>
      <c r="B42" s="8">
        <v>30000</v>
      </c>
      <c r="C42" s="2"/>
    </row>
    <row r="43" spans="1:3" x14ac:dyDescent="0.25">
      <c r="A43" s="4" t="s">
        <v>31</v>
      </c>
      <c r="B43" s="8">
        <v>0</v>
      </c>
      <c r="C43" s="2"/>
    </row>
    <row r="44" spans="1:3" x14ac:dyDescent="0.25">
      <c r="A44" s="4" t="s">
        <v>32</v>
      </c>
      <c r="B44" s="8">
        <v>27277.26</v>
      </c>
      <c r="C44" s="2"/>
    </row>
    <row r="45" spans="1:3" x14ac:dyDescent="0.25">
      <c r="A45" s="4" t="s">
        <v>33</v>
      </c>
      <c r="B45" s="8">
        <v>0</v>
      </c>
      <c r="C45" s="2"/>
    </row>
    <row r="46" spans="1:3" x14ac:dyDescent="0.25">
      <c r="A46" s="4" t="s">
        <v>34</v>
      </c>
      <c r="B46" s="13">
        <f>604946.93-181935.44</f>
        <v>423011.49000000005</v>
      </c>
      <c r="C46" s="15">
        <f>SUM(B42:B46)</f>
        <v>480288.75000000006</v>
      </c>
    </row>
    <row r="47" spans="1:3" x14ac:dyDescent="0.25">
      <c r="A47" s="4" t="s">
        <v>1</v>
      </c>
      <c r="B47" s="9">
        <f>SUM(B28:B46)</f>
        <v>5798472.54</v>
      </c>
      <c r="C47" s="9">
        <f>SUM(C28:C46)</f>
        <v>5798472.54</v>
      </c>
    </row>
    <row r="48" spans="1:3" x14ac:dyDescent="0.25">
      <c r="C48" s="2"/>
    </row>
    <row r="49" spans="1:3" x14ac:dyDescent="0.25">
      <c r="A49" s="5" t="s">
        <v>41</v>
      </c>
      <c r="B49" s="8">
        <f>B47+B26</f>
        <v>7327095.4199999999</v>
      </c>
      <c r="C49" s="2"/>
    </row>
    <row r="50" spans="1:3" x14ac:dyDescent="0.25">
      <c r="A50" s="5" t="s">
        <v>40</v>
      </c>
      <c r="B50" s="8">
        <f>4228.76+846.97</f>
        <v>5075.7300000000005</v>
      </c>
      <c r="C50" s="2"/>
    </row>
    <row r="51" spans="1:3" x14ac:dyDescent="0.25">
      <c r="A51" s="5" t="s">
        <v>42</v>
      </c>
      <c r="B51" s="8">
        <f>B49+B50</f>
        <v>7332171.1500000004</v>
      </c>
    </row>
    <row r="52" spans="1:3" x14ac:dyDescent="0.25">
      <c r="B52" s="8"/>
    </row>
    <row r="53" spans="1:3" x14ac:dyDescent="0.25">
      <c r="B53" s="6">
        <f>B51-7514106.59+181935.44</f>
        <v>5.2386894822120667E-10</v>
      </c>
    </row>
  </sheetData>
  <pageMargins left="0.7" right="0.7" top="0.75" bottom="0.75" header="0.3" footer="0.3"/>
  <pageSetup paperSize="9" scale="6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FB559-D96C-4BFB-BAAB-87839C63EB6D}">
  <dimension ref="A1:H52"/>
  <sheetViews>
    <sheetView tabSelected="1" view="pageBreakPreview" zoomScale="60" zoomScaleNormal="100" workbookViewId="0">
      <selection activeCell="F29" sqref="F29"/>
    </sheetView>
  </sheetViews>
  <sheetFormatPr defaultRowHeight="15" x14ac:dyDescent="0.25"/>
  <cols>
    <col min="1" max="1" width="52.42578125" customWidth="1"/>
    <col min="2" max="2" width="18.85546875" bestFit="1" customWidth="1"/>
    <col min="3" max="5" width="18.85546875" customWidth="1"/>
    <col min="6" max="6" width="25.140625" customWidth="1"/>
    <col min="7" max="7" width="18.85546875" customWidth="1"/>
    <col min="8" max="8" width="13.140625" bestFit="1" customWidth="1"/>
  </cols>
  <sheetData>
    <row r="1" spans="1:8" x14ac:dyDescent="0.25">
      <c r="A1" s="10" t="s">
        <v>0</v>
      </c>
      <c r="B1" s="11" t="s">
        <v>22</v>
      </c>
      <c r="C1" s="11" t="s">
        <v>23</v>
      </c>
      <c r="D1" s="11" t="s">
        <v>24</v>
      </c>
      <c r="E1" s="11" t="s">
        <v>46</v>
      </c>
      <c r="F1" s="11" t="s">
        <v>45</v>
      </c>
      <c r="G1" s="11" t="s">
        <v>1</v>
      </c>
    </row>
    <row r="2" spans="1:8" x14ac:dyDescent="0.25">
      <c r="A2" t="s">
        <v>14</v>
      </c>
      <c r="B2" s="1">
        <f>(B19+B20)/B16*B13</f>
        <v>704354.4219912549</v>
      </c>
      <c r="C2" s="1">
        <f>$C$28/$B$11*B2</f>
        <v>197013.92980076006</v>
      </c>
      <c r="D2" s="1">
        <f>B32</f>
        <v>3698354.9300000006</v>
      </c>
      <c r="E2" s="1">
        <v>0</v>
      </c>
      <c r="F2" s="1">
        <f>(($C$45+$B$49)/($C$11+$D$11+$E$11)*(C2+D2+E2))</f>
        <v>627019.08382319484</v>
      </c>
      <c r="G2" s="1">
        <f>SUM(B2:F2)</f>
        <v>5226742.3656152105</v>
      </c>
      <c r="H2" s="1"/>
    </row>
    <row r="3" spans="1:8" x14ac:dyDescent="0.25">
      <c r="A3" t="s">
        <v>21</v>
      </c>
      <c r="B3" s="1">
        <f>(B23+B24)/B16*B13</f>
        <v>454502.32336366706</v>
      </c>
      <c r="C3" s="1">
        <f>$C$28/$B$11*B3</f>
        <v>127128.17018498623</v>
      </c>
      <c r="D3" s="1">
        <f>B33</f>
        <v>1184706.0599999998</v>
      </c>
      <c r="E3" s="1">
        <v>0</v>
      </c>
      <c r="F3" s="1">
        <f>(($C$45+$B$49)/($C$11+$D$11+$E$11)*(C3+D3+E3))</f>
        <v>211159.74551908477</v>
      </c>
      <c r="G3" s="1">
        <f t="shared" ref="G3:G11" si="0">SUM(B3:F3)</f>
        <v>1977496.299067738</v>
      </c>
    </row>
    <row r="4" spans="1:8" x14ac:dyDescent="0.25">
      <c r="A4" t="s">
        <v>15</v>
      </c>
      <c r="B4" s="1">
        <f>B2+B3</f>
        <v>1158856.745354922</v>
      </c>
      <c r="C4" s="1">
        <f t="shared" ref="C4:F4" si="1">C2+C3</f>
        <v>324142.09998574632</v>
      </c>
      <c r="D4" s="1">
        <f t="shared" si="1"/>
        <v>4883060.99</v>
      </c>
      <c r="E4" s="1">
        <f t="shared" si="1"/>
        <v>0</v>
      </c>
      <c r="F4" s="1">
        <f t="shared" si="1"/>
        <v>838178.82934227958</v>
      </c>
      <c r="G4" s="1">
        <f t="shared" si="0"/>
        <v>7204238.664682948</v>
      </c>
    </row>
    <row r="5" spans="1:8" x14ac:dyDescent="0.25">
      <c r="A5" t="s">
        <v>2</v>
      </c>
      <c r="B5" s="1">
        <f>(B19+B20+B23+B24)/B16*B14</f>
        <v>55549.481929302732</v>
      </c>
      <c r="C5" s="1">
        <f>$C$28/$B$11*B5</f>
        <v>15537.663130372335</v>
      </c>
      <c r="D5" s="1">
        <f>B29+B30+B31</f>
        <v>189822.91999999998</v>
      </c>
      <c r="E5" s="1">
        <f>B39</f>
        <v>66175.120000000024</v>
      </c>
      <c r="F5" s="1">
        <f>(($C$45+$B$49)/($C$11+$D$11+$E$11)*(C5+D5+E5))</f>
        <v>43707.816622737337</v>
      </c>
      <c r="G5" s="1">
        <f t="shared" si="0"/>
        <v>370793.0016824124</v>
      </c>
    </row>
    <row r="6" spans="1:8" x14ac:dyDescent="0.25">
      <c r="A6" t="s">
        <v>16</v>
      </c>
      <c r="B6" s="1">
        <f>(B19+B20+B23+B24)/B16*B15</f>
        <v>31911.404512578167</v>
      </c>
      <c r="C6" s="1">
        <f>$C$28/$B$11*B6</f>
        <v>8925.8915855330433</v>
      </c>
      <c r="D6" s="1">
        <v>0</v>
      </c>
      <c r="E6" s="1">
        <f>B40</f>
        <v>100010.04999999999</v>
      </c>
      <c r="F6" s="1">
        <f>(($C$45+$B$49)/($C$11+$D$11+$E$11)*(C6+D6+E6))</f>
        <v>17534.902790148513</v>
      </c>
      <c r="G6" s="1">
        <f t="shared" si="0"/>
        <v>158382.2488882597</v>
      </c>
    </row>
    <row r="7" spans="1:8" x14ac:dyDescent="0.25">
      <c r="A7" t="s">
        <v>17</v>
      </c>
      <c r="B7" s="1">
        <v>0</v>
      </c>
      <c r="C7" s="1">
        <f>$C$28/$B$11*B7</f>
        <v>0</v>
      </c>
      <c r="D7" s="1">
        <f>C36</f>
        <v>295025.52</v>
      </c>
      <c r="E7" s="1">
        <v>0</v>
      </c>
      <c r="F7" s="1">
        <f>(($C$45+$B$49)/($C$11+$D$11+$E$11)*(C7+D7+E7))</f>
        <v>47488.861238245692</v>
      </c>
      <c r="G7" s="1">
        <f t="shared" si="0"/>
        <v>342514.3812382457</v>
      </c>
    </row>
    <row r="8" spans="1:8" x14ac:dyDescent="0.25">
      <c r="A8" t="s">
        <v>18</v>
      </c>
      <c r="B8" s="1">
        <f>B21</f>
        <v>95437.049884996726</v>
      </c>
      <c r="C8" s="1">
        <f>$C$28/$B$11*B8</f>
        <v>26694.555552414531</v>
      </c>
      <c r="D8" s="1">
        <f>C37</f>
        <v>0</v>
      </c>
      <c r="E8" s="1">
        <v>0</v>
      </c>
      <c r="F8" s="1">
        <f>(($C$45+$B$49)/($C$11+$D$11+$E$11)*(C8+D8+E8))</f>
        <v>4296.8962293338373</v>
      </c>
      <c r="G8" s="1">
        <f t="shared" si="0"/>
        <v>126428.5016667451</v>
      </c>
    </row>
    <row r="9" spans="1:8" x14ac:dyDescent="0.25">
      <c r="A9" t="s">
        <v>19</v>
      </c>
      <c r="B9" s="1">
        <f>B22</f>
        <v>179940.24831820035</v>
      </c>
      <c r="C9" s="1">
        <f>$C$28/$B$11*B9</f>
        <v>50330.819745933826</v>
      </c>
      <c r="D9" s="1">
        <v>0</v>
      </c>
      <c r="E9" s="1">
        <v>0</v>
      </c>
      <c r="F9" s="1">
        <f>(($C$45+$B$49)/($C$11+$D$11+$E$11)*(C9+D9+E9))</f>
        <v>8101.513777254956</v>
      </c>
      <c r="G9" s="1">
        <f t="shared" si="0"/>
        <v>238372.58184138912</v>
      </c>
    </row>
    <row r="10" spans="1:8" x14ac:dyDescent="0.25">
      <c r="A10" t="s">
        <v>20</v>
      </c>
      <c r="B10" s="1">
        <f>B5+B6+B7+B8+B9</f>
        <v>362838.18464507797</v>
      </c>
      <c r="C10" s="1">
        <f t="shared" ref="C10:F10" si="2">C5+C6+C7+C8+C9</f>
        <v>101488.93001425374</v>
      </c>
      <c r="D10" s="1">
        <f t="shared" si="2"/>
        <v>484848.44</v>
      </c>
      <c r="E10" s="1">
        <f t="shared" si="2"/>
        <v>166185.17000000001</v>
      </c>
      <c r="F10" s="1">
        <f t="shared" si="2"/>
        <v>121129.99065772034</v>
      </c>
      <c r="G10" s="1">
        <f t="shared" si="0"/>
        <v>1236490.7153170519</v>
      </c>
    </row>
    <row r="11" spans="1:8" x14ac:dyDescent="0.25">
      <c r="A11" s="10" t="s">
        <v>3</v>
      </c>
      <c r="B11" s="12">
        <f>B10+B4</f>
        <v>1521694.93</v>
      </c>
      <c r="C11" s="12">
        <f t="shared" ref="C11:F11" si="3">C10+C4</f>
        <v>425631.03</v>
      </c>
      <c r="D11" s="12">
        <f t="shared" si="3"/>
        <v>5367909.4300000006</v>
      </c>
      <c r="E11" s="12">
        <f t="shared" si="3"/>
        <v>166185.17000000001</v>
      </c>
      <c r="F11" s="12">
        <f t="shared" si="3"/>
        <v>959308.82</v>
      </c>
      <c r="G11" s="12">
        <f t="shared" si="0"/>
        <v>8440729.3800000008</v>
      </c>
      <c r="H11" s="12" t="b">
        <f>G11=B50</f>
        <v>1</v>
      </c>
    </row>
    <row r="12" spans="1:8" x14ac:dyDescent="0.25">
      <c r="G12" s="1"/>
    </row>
    <row r="13" spans="1:8" x14ac:dyDescent="0.25">
      <c r="A13" t="s">
        <v>12</v>
      </c>
      <c r="B13" s="2">
        <f>[5]AlloggiALL!$H$38+[5]AlloggiALL!$I$37</f>
        <v>1961</v>
      </c>
    </row>
    <row r="14" spans="1:8" x14ac:dyDescent="0.25">
      <c r="A14" t="s">
        <v>11</v>
      </c>
      <c r="B14" s="2">
        <f>[5]AlloggiALL!$B$38+[5]AlloggiALL!$F$38+[5]AlloggiALL!$G$38</f>
        <v>94</v>
      </c>
    </row>
    <row r="15" spans="1:8" x14ac:dyDescent="0.25">
      <c r="A15" t="s">
        <v>13</v>
      </c>
      <c r="B15" s="2">
        <f>[5]AlloggiALL!$C$38+[5]AlloggiALL!$D$38+[5]AlloggiALL!$E$38+[5]AlloggiALL!$J$38</f>
        <v>54</v>
      </c>
    </row>
    <row r="16" spans="1:8" x14ac:dyDescent="0.25">
      <c r="A16" t="s">
        <v>1</v>
      </c>
      <c r="B16" s="2">
        <f>SUM(B13:B15)</f>
        <v>2109</v>
      </c>
    </row>
    <row r="17" spans="1:8" x14ac:dyDescent="0.25">
      <c r="B17" s="2"/>
    </row>
    <row r="18" spans="1:8" x14ac:dyDescent="0.25">
      <c r="A18" t="s">
        <v>25</v>
      </c>
      <c r="B18" s="2"/>
    </row>
    <row r="19" spans="1:8" x14ac:dyDescent="0.25">
      <c r="A19" t="s">
        <v>4</v>
      </c>
      <c r="B19" s="2">
        <f>[6]RiepPers!B17</f>
        <v>510050.29088016803</v>
      </c>
    </row>
    <row r="20" spans="1:8" x14ac:dyDescent="0.25">
      <c r="A20" t="s">
        <v>5</v>
      </c>
      <c r="B20" s="2">
        <f>[6]RiepPers!B18</f>
        <v>247462.95541231363</v>
      </c>
    </row>
    <row r="21" spans="1:8" x14ac:dyDescent="0.25">
      <c r="A21" t="s">
        <v>6</v>
      </c>
      <c r="B21" s="2">
        <f>[6]RiepPers!B19</f>
        <v>95437.049884996726</v>
      </c>
    </row>
    <row r="22" spans="1:8" x14ac:dyDescent="0.25">
      <c r="A22" t="s">
        <v>52</v>
      </c>
      <c r="B22" s="2">
        <f>[6]RiepPers!B20</f>
        <v>179940.24831820035</v>
      </c>
    </row>
    <row r="23" spans="1:8" x14ac:dyDescent="0.25">
      <c r="A23" t="s">
        <v>50</v>
      </c>
      <c r="B23" s="2">
        <f>[6]RiepPers!B21</f>
        <v>488804.3855043212</v>
      </c>
    </row>
    <row r="24" spans="1:8" hidden="1" x14ac:dyDescent="0.25">
      <c r="A24" t="s">
        <v>51</v>
      </c>
      <c r="B24" s="2">
        <v>0</v>
      </c>
      <c r="H24" s="6"/>
    </row>
    <row r="25" spans="1:8" x14ac:dyDescent="0.25">
      <c r="A25" t="s">
        <v>10</v>
      </c>
      <c r="B25" s="7">
        <f>SUM(B19:B24)</f>
        <v>1521694.93</v>
      </c>
      <c r="C25" s="2"/>
      <c r="D25" s="6"/>
      <c r="H25" s="6"/>
    </row>
    <row r="26" spans="1:8" x14ac:dyDescent="0.25">
      <c r="B26" s="2"/>
      <c r="C26" s="2"/>
    </row>
    <row r="27" spans="1:8" x14ac:dyDescent="0.25">
      <c r="A27" s="3" t="s">
        <v>26</v>
      </c>
      <c r="B27" s="8">
        <f>394815.25</f>
        <v>394815.25</v>
      </c>
      <c r="C27" s="2"/>
    </row>
    <row r="28" spans="1:8" x14ac:dyDescent="0.25">
      <c r="A28" s="3" t="s">
        <v>29</v>
      </c>
      <c r="B28" s="13">
        <v>30815.78</v>
      </c>
      <c r="C28" s="15">
        <f>B27+B28</f>
        <v>425631.03</v>
      </c>
    </row>
    <row r="29" spans="1:8" x14ac:dyDescent="0.25">
      <c r="A29" s="4" t="s">
        <v>37</v>
      </c>
      <c r="B29" s="8">
        <v>60415.28</v>
      </c>
      <c r="C29" s="2"/>
    </row>
    <row r="30" spans="1:8" x14ac:dyDescent="0.25">
      <c r="A30" s="4" t="s">
        <v>38</v>
      </c>
      <c r="B30" s="8">
        <v>122618.62</v>
      </c>
      <c r="C30" s="2"/>
    </row>
    <row r="31" spans="1:8" x14ac:dyDescent="0.25">
      <c r="A31" s="4" t="s">
        <v>39</v>
      </c>
      <c r="B31" s="8">
        <v>6789.02</v>
      </c>
      <c r="C31" s="2"/>
    </row>
    <row r="32" spans="1:8" x14ac:dyDescent="0.25">
      <c r="A32" s="4" t="s">
        <v>43</v>
      </c>
      <c r="B32" s="8">
        <f>4883060.99-B33</f>
        <v>3698354.9300000006</v>
      </c>
      <c r="C32" s="7"/>
    </row>
    <row r="33" spans="1:3" x14ac:dyDescent="0.25">
      <c r="A33" s="4" t="s">
        <v>44</v>
      </c>
      <c r="B33" s="13">
        <f>'[5]Gestione Alloggi'!$N$31</f>
        <v>1184706.0599999998</v>
      </c>
      <c r="C33" s="15">
        <f>B29+B30+B31+B32+B33</f>
        <v>5072883.91</v>
      </c>
    </row>
    <row r="34" spans="1:3" x14ac:dyDescent="0.25">
      <c r="A34" s="3" t="s">
        <v>27</v>
      </c>
      <c r="B34" s="8">
        <v>295025.52</v>
      </c>
      <c r="C34" s="2"/>
    </row>
    <row r="35" spans="1:3" x14ac:dyDescent="0.25">
      <c r="A35" s="3" t="s">
        <v>35</v>
      </c>
      <c r="B35" s="8">
        <v>0</v>
      </c>
      <c r="C35" s="2"/>
    </row>
    <row r="36" spans="1:3" x14ac:dyDescent="0.25">
      <c r="A36" s="3" t="s">
        <v>36</v>
      </c>
      <c r="B36" s="13">
        <v>0</v>
      </c>
      <c r="C36" s="15">
        <f>B34+B35+B36</f>
        <v>295025.52</v>
      </c>
    </row>
    <row r="37" spans="1:3" x14ac:dyDescent="0.25">
      <c r="A37" s="4" t="s">
        <v>28</v>
      </c>
      <c r="B37" s="14">
        <v>0</v>
      </c>
      <c r="C37" s="16">
        <f>B37</f>
        <v>0</v>
      </c>
    </row>
    <row r="38" spans="1:3" x14ac:dyDescent="0.25">
      <c r="A38" s="4"/>
      <c r="B38" s="8"/>
      <c r="C38" s="7"/>
    </row>
    <row r="39" spans="1:3" x14ac:dyDescent="0.25">
      <c r="A39" s="3" t="s">
        <v>48</v>
      </c>
      <c r="B39" s="8">
        <f>166185.17-B40</f>
        <v>66175.120000000024</v>
      </c>
      <c r="C39" s="2"/>
    </row>
    <row r="40" spans="1:3" x14ac:dyDescent="0.25">
      <c r="A40" s="3" t="s">
        <v>49</v>
      </c>
      <c r="B40" s="13">
        <f>58346.95+41663.1</f>
        <v>100010.04999999999</v>
      </c>
      <c r="C40" s="15">
        <f>B39+B40</f>
        <v>166185.17000000001</v>
      </c>
    </row>
    <row r="41" spans="1:3" x14ac:dyDescent="0.25">
      <c r="A41" s="4" t="s">
        <v>30</v>
      </c>
      <c r="B41" s="8">
        <v>409246.18</v>
      </c>
      <c r="C41" s="2"/>
    </row>
    <row r="42" spans="1:3" x14ac:dyDescent="0.25">
      <c r="A42" s="4" t="s">
        <v>31</v>
      </c>
      <c r="B42" s="8">
        <v>0</v>
      </c>
      <c r="C42" s="2"/>
    </row>
    <row r="43" spans="1:3" x14ac:dyDescent="0.25">
      <c r="A43" s="4" t="s">
        <v>32</v>
      </c>
      <c r="B43" s="8">
        <v>2142.23</v>
      </c>
      <c r="C43" s="2"/>
    </row>
    <row r="44" spans="1:3" x14ac:dyDescent="0.25">
      <c r="A44" s="4" t="s">
        <v>33</v>
      </c>
      <c r="B44" s="8">
        <v>0</v>
      </c>
      <c r="C44" s="2"/>
    </row>
    <row r="45" spans="1:3" x14ac:dyDescent="0.25">
      <c r="A45" s="4" t="s">
        <v>34</v>
      </c>
      <c r="B45" s="13">
        <v>545387.6</v>
      </c>
      <c r="C45" s="15">
        <f>SUM(B41:B45)</f>
        <v>956776.01</v>
      </c>
    </row>
    <row r="46" spans="1:3" x14ac:dyDescent="0.25">
      <c r="A46" s="4" t="s">
        <v>1</v>
      </c>
      <c r="B46" s="9">
        <f>SUM(B27:B45)</f>
        <v>6916501.6400000006</v>
      </c>
      <c r="C46" s="9">
        <f>SUM(C27:C45)</f>
        <v>6916501.6400000006</v>
      </c>
    </row>
    <row r="47" spans="1:3" x14ac:dyDescent="0.25">
      <c r="C47" s="2"/>
    </row>
    <row r="48" spans="1:3" x14ac:dyDescent="0.25">
      <c r="A48" s="5" t="s">
        <v>41</v>
      </c>
      <c r="B48" s="8">
        <f>B46+B25</f>
        <v>8438196.5700000003</v>
      </c>
      <c r="C48" s="2"/>
    </row>
    <row r="49" spans="1:3" x14ac:dyDescent="0.25">
      <c r="A49" s="5" t="s">
        <v>40</v>
      </c>
      <c r="B49" s="8">
        <f>1852.89+679.92</f>
        <v>2532.81</v>
      </c>
      <c r="C49" s="2"/>
    </row>
    <row r="50" spans="1:3" x14ac:dyDescent="0.25">
      <c r="A50" s="5" t="s">
        <v>42</v>
      </c>
      <c r="B50" s="8">
        <f>B48+B49</f>
        <v>8440729.3800000008</v>
      </c>
    </row>
    <row r="51" spans="1:3" x14ac:dyDescent="0.25">
      <c r="B51" s="8"/>
    </row>
    <row r="52" spans="1:3" x14ac:dyDescent="0.25">
      <c r="B52" s="6">
        <f>B50-8440729.38</f>
        <v>0</v>
      </c>
    </row>
  </sheetData>
  <pageMargins left="0.25" right="0.25" top="0.75" bottom="0.75" header="0.3" footer="0.3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8</vt:i4>
      </vt:variant>
    </vt:vector>
  </HeadingPairs>
  <TitlesOfParts>
    <vt:vector size="16" baseType="lpstr">
      <vt:lpstr>2016</vt:lpstr>
      <vt:lpstr>2017</vt:lpstr>
      <vt:lpstr>2018</vt:lpstr>
      <vt:lpstr>2019</vt:lpstr>
      <vt:lpstr>2020</vt:lpstr>
      <vt:lpstr>2021</vt:lpstr>
      <vt:lpstr>2022</vt:lpstr>
      <vt:lpstr>2023</vt:lpstr>
      <vt:lpstr>'2016'!Area_stampa</vt:lpstr>
      <vt:lpstr>'2017'!Area_stampa</vt:lpstr>
      <vt:lpstr>'2018'!Area_stampa</vt:lpstr>
      <vt:lpstr>'2019'!Area_stampa</vt:lpstr>
      <vt:lpstr>'2020'!Area_stampa</vt:lpstr>
      <vt:lpstr>'2021'!Area_stampa</vt:lpstr>
      <vt:lpstr>'2022'!Area_stampa</vt:lpstr>
      <vt:lpstr>'2023'!Area_stampa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Massimiliano Coli</dc:creator>
  <cp:lastModifiedBy>Nikoll Bali</cp:lastModifiedBy>
  <cp:lastPrinted>2024-06-07T11:12:05Z</cp:lastPrinted>
  <dcterms:created xsi:type="dcterms:W3CDTF">2021-05-03T10:52:43Z</dcterms:created>
  <dcterms:modified xsi:type="dcterms:W3CDTF">2024-06-07T11:12:11Z</dcterms:modified>
</cp:coreProperties>
</file>