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ikoll.Bali\Downloads\"/>
    </mc:Choice>
  </mc:AlternateContent>
  <xr:revisionPtr revIDLastSave="0" documentId="13_ncr:1_{C1700201-3720-4555-A85D-AF2FBCEC5A0F}" xr6:coauthVersionLast="47" xr6:coauthVersionMax="47" xr10:uidLastSave="{00000000-0000-0000-0000-000000000000}"/>
  <bookViews>
    <workbookView xWindow="-120" yWindow="-120" windowWidth="29040" windowHeight="15840" xr2:uid="{5F2DBF58-6DD1-46CF-8D9C-5290DF2914F1}"/>
  </bookViews>
  <sheets>
    <sheet name="Foglio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B45" i="1"/>
  <c r="C45" i="1" s="1"/>
  <c r="B40" i="1"/>
  <c r="B39" i="1"/>
  <c r="C40" i="1" s="1"/>
  <c r="C37" i="1"/>
  <c r="D8" i="1" s="1"/>
  <c r="B34" i="1"/>
  <c r="C36" i="1" s="1"/>
  <c r="D7" i="1" s="1"/>
  <c r="B33" i="1"/>
  <c r="B32" i="1" s="1"/>
  <c r="B27" i="1"/>
  <c r="C28" i="1" s="1"/>
  <c r="B24" i="1"/>
  <c r="B23" i="1"/>
  <c r="B22" i="1"/>
  <c r="B21" i="1"/>
  <c r="B8" i="1" s="1"/>
  <c r="B20" i="1"/>
  <c r="B19" i="1"/>
  <c r="B15" i="1"/>
  <c r="B14" i="1"/>
  <c r="B13" i="1"/>
  <c r="B9" i="1"/>
  <c r="E6" i="1"/>
  <c r="D5" i="1"/>
  <c r="E4" i="1"/>
  <c r="D10" i="1" l="1"/>
  <c r="B25" i="1"/>
  <c r="H24" i="1" s="1"/>
  <c r="B16" i="1"/>
  <c r="B3" i="1" s="1"/>
  <c r="B6" i="1"/>
  <c r="D2" i="1"/>
  <c r="C33" i="1"/>
  <c r="C46" i="1" s="1"/>
  <c r="B46" i="1"/>
  <c r="D3" i="1"/>
  <c r="B2" i="1"/>
  <c r="B5" i="1"/>
  <c r="E5" i="1"/>
  <c r="E10" i="1" s="1"/>
  <c r="E11" i="1" s="1"/>
  <c r="B48" i="1" l="1"/>
  <c r="B50" i="1" s="1"/>
  <c r="B52" i="1" s="1"/>
  <c r="B10" i="1"/>
  <c r="D4" i="1"/>
  <c r="D11" i="1" s="1"/>
  <c r="B4" i="1"/>
  <c r="B11" i="1" l="1"/>
  <c r="C3" i="1" l="1"/>
  <c r="C9" i="1"/>
  <c r="C7" i="1"/>
  <c r="C6" i="1"/>
  <c r="C5" i="1"/>
  <c r="C2" i="1"/>
  <c r="C8" i="1"/>
  <c r="C4" i="1" l="1"/>
  <c r="C10" i="1"/>
  <c r="C11" i="1" l="1"/>
  <c r="F7" i="1" l="1"/>
  <c r="G7" i="1" s="1"/>
  <c r="F8" i="1"/>
  <c r="G8" i="1" s="1"/>
  <c r="F3" i="1"/>
  <c r="G3" i="1" s="1"/>
  <c r="F9" i="1"/>
  <c r="G9" i="1" s="1"/>
  <c r="F6" i="1"/>
  <c r="G6" i="1" s="1"/>
  <c r="F2" i="1"/>
  <c r="F5" i="1"/>
  <c r="F4" i="1" l="1"/>
  <c r="G4" i="1" s="1"/>
  <c r="G2" i="1"/>
  <c r="F10" i="1"/>
  <c r="G5" i="1"/>
  <c r="F11" i="1" l="1"/>
  <c r="G11" i="1" s="1"/>
  <c r="H11" i="1" s="1"/>
  <c r="G10" i="1"/>
</calcChain>
</file>

<file path=xl/sharedStrings.xml><?xml version="1.0" encoding="utf-8"?>
<sst xmlns="http://schemas.openxmlformats.org/spreadsheetml/2006/main" count="51" uniqueCount="49">
  <si>
    <t>SERVIZI</t>
  </si>
  <si>
    <t>COSTI PERSONALE</t>
  </si>
  <si>
    <t>SPESE GENERALI</t>
  </si>
  <si>
    <t>ALTRI COSTI DIRETTI</t>
  </si>
  <si>
    <t>Q. AMM. IMMOBILI</t>
  </si>
  <si>
    <t>IMPOSTE, ONERI, INTERESSI</t>
  </si>
  <si>
    <t>TOTALE</t>
  </si>
  <si>
    <t>Gestione alloggi erp/ers comunali</t>
  </si>
  <si>
    <t xml:space="preserve">Manutenzione e Costruzione alloggi erp/ers </t>
  </si>
  <si>
    <t>TOTALE COSTI CONTABILIZZATI ATTIVITA' E.R.P./E.R.S.</t>
  </si>
  <si>
    <t>Gestione alloggi proprietà ACER</t>
  </si>
  <si>
    <t xml:space="preserve">Gestione immobili non abitativi </t>
  </si>
  <si>
    <t>Prestazioni tecniche per conto terzi</t>
  </si>
  <si>
    <t xml:space="preserve">Servizio di Emergenza Abitativa </t>
  </si>
  <si>
    <t>Servizio di Amministrazione Condominiale</t>
  </si>
  <si>
    <t>TOTALE COSTI CONTABILIZZATI ALTRE ATTIVITA'</t>
  </si>
  <si>
    <t>TOTALE COMPLESSIVO COSTI CONTABILIZZATI</t>
  </si>
  <si>
    <t>ALLOGGI ERP/ERS PROPRIETA' COMUNALE</t>
  </si>
  <si>
    <t>ALLOGGI ACER</t>
  </si>
  <si>
    <t>IMMOBILI NON ABITATIVI</t>
  </si>
  <si>
    <t>SPESE DEL PERSONALE</t>
  </si>
  <si>
    <t>Amministrazione</t>
  </si>
  <si>
    <t>Affari Generali e Utenza</t>
  </si>
  <si>
    <t>Emergenza Abitativa</t>
  </si>
  <si>
    <t>Amministrazioni Condominiali</t>
  </si>
  <si>
    <t>Manutenzioni ordianrie e Pronto Intervento</t>
  </si>
  <si>
    <t>Nuove Costruzioni e Manutenzioni Straordinarie</t>
  </si>
  <si>
    <t>Totali</t>
  </si>
  <si>
    <t>SPESE GENERALI 308.001</t>
  </si>
  <si>
    <t>Q.AMM.TO MOBILI 314</t>
  </si>
  <si>
    <t>SPESE AMMINISTRAZIONE STABILI ACER 308.002</t>
  </si>
  <si>
    <t>SPESE MANUTENZIONE STABILI ACER 308.003</t>
  </si>
  <si>
    <t>SPESE PER SERVIZI A RIMBORSO ACER 308.004</t>
  </si>
  <si>
    <t>COSTI CONCESSIONI COMUNI 330 - AMMINISTRAZIONE</t>
  </si>
  <si>
    <t>COSTI CONCESSIONI COMUNI 330 - MANUTENZIONE</t>
  </si>
  <si>
    <t>SPESE PER INTERVENTI EDILIZI 308.005-308.003.006003</t>
  </si>
  <si>
    <t>SPESE PER N.C. 305</t>
  </si>
  <si>
    <t>SPESE PER M.S. 306</t>
  </si>
  <si>
    <t>SPESE PER EMERGENZA ABITATIVA 308.006</t>
  </si>
  <si>
    <t>QUOTE AMM.TO IMMOBILI 312 - ABITATIVI</t>
  </si>
  <si>
    <t>QUOTE AMM.TO IMMOBILI 312 - NON ABITATIVI</t>
  </si>
  <si>
    <t>ACCANTONAMENTI 316</t>
  </si>
  <si>
    <t>PERDITE PER RIENTRI 317</t>
  </si>
  <si>
    <t>SP. DIVERSE E SOPRAVV.PASSIVE 319</t>
  </si>
  <si>
    <t>MINUSVALENZE PATRIMONIALI 320</t>
  </si>
  <si>
    <t>IMPOSTE E TASSE 321</t>
  </si>
  <si>
    <t xml:space="preserve">TOTALE </t>
  </si>
  <si>
    <t>INTERESSI</t>
  </si>
  <si>
    <t>TOTALE COSTI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</si>
</sst>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€-2]\ #,##0.00;[Red]\-[$€-2]\ #,##0.00"/>
    <numFmt numFmtId="165" formatCode="_-* #,##0.00\ _€_-;\-* #,##0.00\ _€_-;_-* &quot;-&quot;??\ _€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43" fontId="0" fillId="0" borderId="0" xfId="1" applyFont="1"/>
    <xf numFmtId="165" fontId="0" fillId="0" borderId="0" xfId="0" applyNumberFormat="1"/>
    <xf numFmtId="43" fontId="3" fillId="0" borderId="0" xfId="1" applyFont="1"/>
    <xf numFmtId="0" fontId="2" fillId="0" borderId="0" xfId="0" applyFont="1"/>
    <xf numFmtId="43" fontId="1" fillId="0" borderId="0" xfId="1" applyFont="1"/>
    <xf numFmtId="43" fontId="1" fillId="0" borderId="1" xfId="1" applyFont="1" applyBorder="1"/>
    <xf numFmtId="43" fontId="3" fillId="0" borderId="1" xfId="1" applyFont="1" applyBorder="1"/>
    <xf numFmtId="0" fontId="4" fillId="0" borderId="0" xfId="0" applyFont="1"/>
    <xf numFmtId="43" fontId="1" fillId="0" borderId="2" xfId="1" applyFont="1" applyBorder="1"/>
    <xf numFmtId="43" fontId="3" fillId="0" borderId="2" xfId="1" applyFont="1" applyBorder="1"/>
    <xf numFmtId="43" fontId="3" fillId="0" borderId="0" xfId="0" applyNumberFormat="1" applyFont="1"/>
    <xf numFmtId="0" fontId="5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Ragioneria\BILANCI%20CONSUNTIVI\2021\Consuntivo-RendicontiConcessioni2.xls" TargetMode="External"/><Relationship Id="rId1" Type="http://schemas.openxmlformats.org/officeDocument/2006/relationships/externalLinkPath" Target="file:///U:\Ragioneria\BILANCI%20CONSUNTIVI\2021\Consuntivo-RendicontiConcessioni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Ragioneria\BILANCI%20CONSUNTIVI\2021\Consuntivo-Personale.xls" TargetMode="External"/><Relationship Id="rId1" Type="http://schemas.openxmlformats.org/officeDocument/2006/relationships/externalLinkPath" Target="file:///U:\Ragioneria\BILANCI%20CONSUNTIVI\2021\Consuntivo-Person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tione Alloggi"/>
      <sheetName val="AlloggiALL"/>
      <sheetName val="Alloggi"/>
      <sheetName val="Manutenzioni"/>
      <sheetName val="Altre Spese"/>
      <sheetName val="Utenze"/>
      <sheetName val="Spese condominiali"/>
      <sheetName val="CondStraord"/>
      <sheetName val="Bollo Virtuale"/>
      <sheetName val="ImposteTasse"/>
      <sheetName val="Assicurazioni"/>
      <sheetName val="CanoniCTR7089"/>
      <sheetName val="OneriCTR7089"/>
      <sheetName val="Morosità"/>
      <sheetName val="Reinvestimento"/>
      <sheetName val="Controlli"/>
      <sheetName val="BELLARIA"/>
      <sheetName val="CATTOLICA"/>
      <sheetName val="CORIANO"/>
      <sheetName val="GEMMANO"/>
      <sheetName val="MISANO"/>
      <sheetName val="MONDAINO"/>
      <sheetName val="MONTECOLOMBO"/>
      <sheetName val="MONTEFIORE"/>
      <sheetName val="MONTEGRIDOLFO"/>
      <sheetName val="MONTESCUDO"/>
      <sheetName val="MORCIANO"/>
      <sheetName val="POGGIOTORRIANA"/>
      <sheetName val="RICCIONE"/>
      <sheetName val="RIMINI"/>
      <sheetName val="RIMINI ERP"/>
      <sheetName val="RIMINI PA"/>
      <sheetName val="SANGIOVANNI"/>
      <sheetName val="SALUDECIO"/>
      <sheetName val="SANCLEMENTE"/>
      <sheetName val="SANTARCANGELO"/>
      <sheetName val="TORRIANA"/>
      <sheetName val="VERUCCHIO"/>
      <sheetName val="CASTELDELCI"/>
      <sheetName val="MAIOLO"/>
      <sheetName val="NOVAFELTRIA"/>
      <sheetName val="PENNABILLI"/>
      <sheetName val="SAN LEO"/>
      <sheetName val="SANT'AGATA FELTRIA"/>
      <sheetName val="TALAMELLO"/>
    </sheetNames>
    <sheetDataSet>
      <sheetData sheetId="0">
        <row r="31">
          <cell r="N31">
            <v>968363.32999999984</v>
          </cell>
        </row>
      </sheetData>
      <sheetData sheetId="1">
        <row r="37">
          <cell r="B37">
            <v>52</v>
          </cell>
          <cell r="C37">
            <v>27</v>
          </cell>
          <cell r="D37">
            <v>16</v>
          </cell>
          <cell r="E37">
            <v>3</v>
          </cell>
          <cell r="F37">
            <v>36</v>
          </cell>
          <cell r="G37">
            <v>6</v>
          </cell>
          <cell r="H37">
            <v>1954</v>
          </cell>
          <cell r="I37">
            <v>343</v>
          </cell>
          <cell r="J37">
            <v>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sonale"/>
      <sheetName val="RiepPers"/>
      <sheetName val="buoni pasto"/>
      <sheetName val="inps"/>
      <sheetName val="Ferie non godute 2021"/>
      <sheetName val="storno ferie non godute 2020"/>
      <sheetName val="competenza 2021"/>
      <sheetName val="TFR  31-12-21"/>
      <sheetName val="quadrature"/>
    </sheetNames>
    <sheetDataSet>
      <sheetData sheetId="0"/>
      <sheetData sheetId="1">
        <row r="17">
          <cell r="B17">
            <v>481609.05041212513</v>
          </cell>
        </row>
        <row r="18">
          <cell r="B18">
            <v>266866.32341760525</v>
          </cell>
        </row>
        <row r="19">
          <cell r="B19">
            <v>92890.435889737942</v>
          </cell>
        </row>
        <row r="20">
          <cell r="B20">
            <v>163931.94233989215</v>
          </cell>
        </row>
        <row r="21">
          <cell r="B21">
            <v>228124.30756232768</v>
          </cell>
        </row>
        <row r="22">
          <cell r="B22">
            <v>206749.55037831183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5D370-987A-487F-BDFC-D493A42FDAC2}">
  <dimension ref="A1:H52"/>
  <sheetViews>
    <sheetView tabSelected="1" zoomScaleNormal="100" workbookViewId="0">
      <selection activeCell="F33" sqref="F33"/>
    </sheetView>
  </sheetViews>
  <sheetFormatPr defaultRowHeight="15" x14ac:dyDescent="0.25"/>
  <cols>
    <col min="1" max="1" width="52.42578125" customWidth="1"/>
    <col min="2" max="2" width="18.85546875" bestFit="1" customWidth="1"/>
    <col min="3" max="5" width="18.85546875" customWidth="1"/>
    <col min="6" max="6" width="25.140625" customWidth="1"/>
    <col min="7" max="7" width="18.85546875" customWidth="1"/>
    <col min="8" max="8" width="12" bestFit="1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8" x14ac:dyDescent="0.25">
      <c r="A2" t="s">
        <v>7</v>
      </c>
      <c r="B2" s="3">
        <f>(B19+B20)/B16*B13</f>
        <v>702881.41197338118</v>
      </c>
      <c r="C2" s="3">
        <f>$C$28/$B$11*B2</f>
        <v>205064.7162377013</v>
      </c>
      <c r="D2" s="3">
        <f>B32</f>
        <v>3442488.4000000004</v>
      </c>
      <c r="E2" s="3">
        <v>0</v>
      </c>
      <c r="F2" s="3">
        <f>(($C$45+$B$49)/($C$11+$D$11+$E$11)*(C2+D2+E2))</f>
        <v>438172.18729283335</v>
      </c>
      <c r="G2" s="3">
        <f>SUM(B2:F2)</f>
        <v>4788606.7155039161</v>
      </c>
      <c r="H2" s="3"/>
    </row>
    <row r="3" spans="1:8" x14ac:dyDescent="0.25">
      <c r="A3" t="s">
        <v>8</v>
      </c>
      <c r="B3" s="3">
        <f>(B23+B24)/B16*B13</f>
        <v>408383.1773056619</v>
      </c>
      <c r="C3" s="3">
        <f>$C$28/$B$11*B3</f>
        <v>119145.24832192877</v>
      </c>
      <c r="D3" s="3">
        <f>B33</f>
        <v>968363.32999999984</v>
      </c>
      <c r="E3" s="3">
        <v>0</v>
      </c>
      <c r="F3" s="3">
        <f>(($C$45+$B$49)/($C$11+$D$11+$E$11)*(C3+D3+E3))</f>
        <v>130639.91044893824</v>
      </c>
      <c r="G3" s="3">
        <f t="shared" ref="G3:G11" si="0">SUM(B3:F3)</f>
        <v>1626531.6660765286</v>
      </c>
    </row>
    <row r="4" spans="1:8" x14ac:dyDescent="0.25">
      <c r="A4" t="s">
        <v>9</v>
      </c>
      <c r="B4" s="3">
        <f>B2+B3</f>
        <v>1111264.589279043</v>
      </c>
      <c r="C4" s="3">
        <f t="shared" ref="C4:F4" si="1">C2+C3</f>
        <v>324209.96455963008</v>
      </c>
      <c r="D4" s="3">
        <f t="shared" si="1"/>
        <v>4410851.7300000004</v>
      </c>
      <c r="E4" s="3">
        <f t="shared" si="1"/>
        <v>0</v>
      </c>
      <c r="F4" s="3">
        <f t="shared" si="1"/>
        <v>568812.09774177161</v>
      </c>
      <c r="G4" s="3">
        <f t="shared" si="0"/>
        <v>6415138.381580445</v>
      </c>
    </row>
    <row r="5" spans="1:8" x14ac:dyDescent="0.25">
      <c r="A5" t="s">
        <v>10</v>
      </c>
      <c r="B5" s="3">
        <f>(B19+B20+B23+B24)/B16*B14</f>
        <v>45476.21741063564</v>
      </c>
      <c r="C5" s="3">
        <f>$C$28/$B$11*B5</f>
        <v>13267.625889684472</v>
      </c>
      <c r="D5" s="3">
        <f>B29+B30+B31</f>
        <v>115389.03</v>
      </c>
      <c r="E5" s="3">
        <f>B39</f>
        <v>64850.140000000014</v>
      </c>
      <c r="F5" s="3">
        <f>(($C$45+$B$49)/($C$11+$D$11+$E$11)*(C5+D5+E5))</f>
        <v>23245.527428663601</v>
      </c>
      <c r="G5" s="3">
        <f t="shared" si="0"/>
        <v>262228.54072898376</v>
      </c>
    </row>
    <row r="6" spans="1:8" x14ac:dyDescent="0.25">
      <c r="A6" t="s">
        <v>11</v>
      </c>
      <c r="B6" s="3">
        <f>(B19+B20+B23+B24)/B16*B15</f>
        <v>26608.425080691068</v>
      </c>
      <c r="C6" s="3">
        <f>$C$28/$B$11*B6</f>
        <v>7762.9725950281481</v>
      </c>
      <c r="D6" s="3">
        <v>0</v>
      </c>
      <c r="E6" s="3">
        <f>B40</f>
        <v>100010.04999999999</v>
      </c>
      <c r="F6" s="3">
        <f>(($C$45+$B$49)/($C$11+$D$11+$E$11)*(C6+D6+E6))</f>
        <v>12946.525941295165</v>
      </c>
      <c r="G6" s="3">
        <f t="shared" si="0"/>
        <v>147327.97361701439</v>
      </c>
    </row>
    <row r="7" spans="1:8" x14ac:dyDescent="0.25">
      <c r="A7" t="s">
        <v>12</v>
      </c>
      <c r="B7" s="3">
        <v>0</v>
      </c>
      <c r="C7" s="3">
        <f>$C$28/$B$11*B7</f>
        <v>0</v>
      </c>
      <c r="D7" s="3">
        <f>C36</f>
        <v>131854.51</v>
      </c>
      <c r="E7" s="3">
        <v>0</v>
      </c>
      <c r="F7" s="3">
        <f>(($C$45+$B$49)/($C$11+$D$11+$E$11)*(C7+D7+E7))</f>
        <v>15839.379773231991</v>
      </c>
      <c r="G7" s="3">
        <f t="shared" si="0"/>
        <v>147693.88977323199</v>
      </c>
    </row>
    <row r="8" spans="1:8" x14ac:dyDescent="0.25">
      <c r="A8" t="s">
        <v>13</v>
      </c>
      <c r="B8" s="3">
        <f>B21</f>
        <v>92890.435889737942</v>
      </c>
      <c r="C8" s="3">
        <f>$C$28/$B$11*B8</f>
        <v>27100.661011144912</v>
      </c>
      <c r="D8" s="3">
        <f>C37</f>
        <v>0</v>
      </c>
      <c r="E8" s="3">
        <v>0</v>
      </c>
      <c r="F8" s="3">
        <f>(($C$45+$B$49)/($C$11+$D$11+$E$11)*(C8+D8+E8))</f>
        <v>3255.5402303732008</v>
      </c>
      <c r="G8" s="3">
        <f t="shared" si="0"/>
        <v>123246.63713125605</v>
      </c>
    </row>
    <row r="9" spans="1:8" x14ac:dyDescent="0.25">
      <c r="A9" t="s">
        <v>14</v>
      </c>
      <c r="B9" s="3">
        <f>B22</f>
        <v>163931.94233989215</v>
      </c>
      <c r="C9" s="3">
        <f>$C$28/$B$11*B9</f>
        <v>47826.925944512375</v>
      </c>
      <c r="D9" s="3">
        <v>0</v>
      </c>
      <c r="E9" s="3">
        <v>0</v>
      </c>
      <c r="F9" s="3">
        <f>(($C$45+$B$49)/($C$11+$D$11+$E$11)*(C9+D9+E9))</f>
        <v>5745.3388846644193</v>
      </c>
      <c r="G9" s="3">
        <f t="shared" si="0"/>
        <v>217504.20716906892</v>
      </c>
    </row>
    <row r="10" spans="1:8" x14ac:dyDescent="0.25">
      <c r="A10" t="s">
        <v>15</v>
      </c>
      <c r="B10" s="3">
        <f>B5+B6+B7+B8+B9</f>
        <v>328907.02072095679</v>
      </c>
      <c r="C10" s="3">
        <f t="shared" ref="C10:F10" si="2">C5+C6+C7+C8+C9</f>
        <v>95958.185440369911</v>
      </c>
      <c r="D10" s="3">
        <f t="shared" si="2"/>
        <v>247243.54</v>
      </c>
      <c r="E10" s="3">
        <f t="shared" si="2"/>
        <v>164860.19</v>
      </c>
      <c r="F10" s="3">
        <f t="shared" si="2"/>
        <v>61032.312258228383</v>
      </c>
      <c r="G10" s="3">
        <f t="shared" si="0"/>
        <v>898001.24841955514</v>
      </c>
    </row>
    <row r="11" spans="1:8" x14ac:dyDescent="0.25">
      <c r="A11" s="1" t="s">
        <v>16</v>
      </c>
      <c r="B11" s="4">
        <f>B10+B4</f>
        <v>1440171.6099999999</v>
      </c>
      <c r="C11" s="4">
        <f t="shared" ref="C11:F11" si="3">C10+C4</f>
        <v>420168.15</v>
      </c>
      <c r="D11" s="4">
        <f t="shared" si="3"/>
        <v>4658095.2700000005</v>
      </c>
      <c r="E11" s="4">
        <f t="shared" si="3"/>
        <v>164860.19</v>
      </c>
      <c r="F11" s="4">
        <f t="shared" si="3"/>
        <v>629844.41</v>
      </c>
      <c r="G11" s="4">
        <f t="shared" si="0"/>
        <v>7313139.6300000008</v>
      </c>
      <c r="H11" s="4" t="b">
        <f>G11=B50</f>
        <v>1</v>
      </c>
    </row>
    <row r="12" spans="1:8" x14ac:dyDescent="0.25">
      <c r="G12" s="3"/>
    </row>
    <row r="13" spans="1:8" x14ac:dyDescent="0.25">
      <c r="A13" t="s">
        <v>17</v>
      </c>
      <c r="B13" s="5">
        <f>[1]AlloggiALL!$H$37+[1]AlloggiALL!$I$37</f>
        <v>2297</v>
      </c>
    </row>
    <row r="14" spans="1:8" x14ac:dyDescent="0.25">
      <c r="A14" t="s">
        <v>18</v>
      </c>
      <c r="B14" s="5">
        <f>[1]AlloggiALL!$B$37+[1]AlloggiALL!$F$37+[1]AlloggiALL!$G$37</f>
        <v>94</v>
      </c>
    </row>
    <row r="15" spans="1:8" x14ac:dyDescent="0.25">
      <c r="A15" t="s">
        <v>19</v>
      </c>
      <c r="B15" s="5">
        <f>[1]AlloggiALL!$C$37+[1]AlloggiALL!$D$37+[1]AlloggiALL!$E$37+[1]AlloggiALL!$J$37</f>
        <v>55</v>
      </c>
    </row>
    <row r="16" spans="1:8" x14ac:dyDescent="0.25">
      <c r="A16" t="s">
        <v>6</v>
      </c>
      <c r="B16" s="5">
        <f>SUM(B13:B15)</f>
        <v>2446</v>
      </c>
    </row>
    <row r="17" spans="1:8" x14ac:dyDescent="0.25">
      <c r="B17" s="5"/>
    </row>
    <row r="18" spans="1:8" x14ac:dyDescent="0.25">
      <c r="A18" t="s">
        <v>20</v>
      </c>
      <c r="B18" s="5"/>
    </row>
    <row r="19" spans="1:8" x14ac:dyDescent="0.25">
      <c r="A19" t="s">
        <v>21</v>
      </c>
      <c r="B19" s="5">
        <f>[2]RiepPers!B17</f>
        <v>481609.05041212513</v>
      </c>
    </row>
    <row r="20" spans="1:8" x14ac:dyDescent="0.25">
      <c r="A20" t="s">
        <v>22</v>
      </c>
      <c r="B20" s="5">
        <f>[2]RiepPers!B18</f>
        <v>266866.32341760525</v>
      </c>
    </row>
    <row r="21" spans="1:8" x14ac:dyDescent="0.25">
      <c r="A21" t="s">
        <v>23</v>
      </c>
      <c r="B21" s="5">
        <f>[2]RiepPers!B19</f>
        <v>92890.435889737942</v>
      </c>
    </row>
    <row r="22" spans="1:8" x14ac:dyDescent="0.25">
      <c r="A22" t="s">
        <v>24</v>
      </c>
      <c r="B22" s="5">
        <f>[2]RiepPers!B20</f>
        <v>163931.94233989215</v>
      </c>
    </row>
    <row r="23" spans="1:8" x14ac:dyDescent="0.25">
      <c r="A23" t="s">
        <v>25</v>
      </c>
      <c r="B23" s="5">
        <f>[2]RiepPers!B21</f>
        <v>228124.30756232768</v>
      </c>
    </row>
    <row r="24" spans="1:8" x14ac:dyDescent="0.25">
      <c r="A24" t="s">
        <v>26</v>
      </c>
      <c r="B24" s="5">
        <f>[2]RiepPers!B22</f>
        <v>206749.55037831183</v>
      </c>
      <c r="H24" s="6">
        <f>B25-1421602.85</f>
        <v>18568.759999999776</v>
      </c>
    </row>
    <row r="25" spans="1:8" x14ac:dyDescent="0.25">
      <c r="A25" t="s">
        <v>27</v>
      </c>
      <c r="B25" s="7">
        <f>SUM(B19:B24)</f>
        <v>1440171.6099999999</v>
      </c>
      <c r="C25" s="5"/>
      <c r="D25" s="6"/>
    </row>
    <row r="26" spans="1:8" x14ac:dyDescent="0.25">
      <c r="B26" s="5"/>
      <c r="C26" s="5"/>
    </row>
    <row r="27" spans="1:8" x14ac:dyDescent="0.25">
      <c r="A27" s="8" t="s">
        <v>28</v>
      </c>
      <c r="B27" s="9">
        <f>402240.47-H25</f>
        <v>402240.47</v>
      </c>
      <c r="C27" s="5"/>
    </row>
    <row r="28" spans="1:8" x14ac:dyDescent="0.25">
      <c r="A28" s="8" t="s">
        <v>29</v>
      </c>
      <c r="B28" s="10">
        <v>17927.68</v>
      </c>
      <c r="C28" s="11">
        <f>B27+B28</f>
        <v>420168.14999999997</v>
      </c>
    </row>
    <row r="29" spans="1:8" x14ac:dyDescent="0.25">
      <c r="A29" s="12" t="s">
        <v>30</v>
      </c>
      <c r="B29" s="9">
        <v>46397.21</v>
      </c>
      <c r="C29" s="5"/>
    </row>
    <row r="30" spans="1:8" x14ac:dyDescent="0.25">
      <c r="A30" s="12" t="s">
        <v>31</v>
      </c>
      <c r="B30" s="9">
        <v>62023.22</v>
      </c>
      <c r="C30" s="5"/>
    </row>
    <row r="31" spans="1:8" x14ac:dyDescent="0.25">
      <c r="A31" s="12" t="s">
        <v>32</v>
      </c>
      <c r="B31" s="9">
        <v>6968.6</v>
      </c>
      <c r="C31" s="5"/>
    </row>
    <row r="32" spans="1:8" x14ac:dyDescent="0.25">
      <c r="A32" s="12" t="s">
        <v>33</v>
      </c>
      <c r="B32" s="9">
        <f>4411069.79-218.06-B33</f>
        <v>3442488.4000000004</v>
      </c>
      <c r="C32" s="7"/>
    </row>
    <row r="33" spans="1:3" x14ac:dyDescent="0.25">
      <c r="A33" s="12" t="s">
        <v>34</v>
      </c>
      <c r="B33" s="10">
        <f>'[1]Gestione Alloggi'!$N$31</f>
        <v>968363.32999999984</v>
      </c>
      <c r="C33" s="11">
        <f>B29+B30+B31+B32+B33</f>
        <v>4526240.76</v>
      </c>
    </row>
    <row r="34" spans="1:3" x14ac:dyDescent="0.25">
      <c r="A34" s="8" t="s">
        <v>35</v>
      </c>
      <c r="B34" s="9">
        <f>18608.86+113245.65</f>
        <v>131854.51</v>
      </c>
      <c r="C34" s="5"/>
    </row>
    <row r="35" spans="1:3" x14ac:dyDescent="0.25">
      <c r="A35" s="8" t="s">
        <v>36</v>
      </c>
      <c r="B35" s="9">
        <v>0</v>
      </c>
      <c r="C35" s="5"/>
    </row>
    <row r="36" spans="1:3" x14ac:dyDescent="0.25">
      <c r="A36" s="8" t="s">
        <v>37</v>
      </c>
      <c r="B36" s="10">
        <v>0</v>
      </c>
      <c r="C36" s="11">
        <f>B34+B35+B36</f>
        <v>131854.51</v>
      </c>
    </row>
    <row r="37" spans="1:3" x14ac:dyDescent="0.25">
      <c r="A37" s="12" t="s">
        <v>38</v>
      </c>
      <c r="B37" s="13">
        <v>0</v>
      </c>
      <c r="C37" s="14">
        <f>B37</f>
        <v>0</v>
      </c>
    </row>
    <row r="38" spans="1:3" x14ac:dyDescent="0.25">
      <c r="A38" s="12"/>
      <c r="B38" s="9"/>
      <c r="C38" s="7"/>
    </row>
    <row r="39" spans="1:3" x14ac:dyDescent="0.25">
      <c r="A39" s="8" t="s">
        <v>39</v>
      </c>
      <c r="B39" s="9">
        <f>164860.19-B40</f>
        <v>64850.140000000014</v>
      </c>
      <c r="C39" s="5"/>
    </row>
    <row r="40" spans="1:3" x14ac:dyDescent="0.25">
      <c r="A40" s="8" t="s">
        <v>40</v>
      </c>
      <c r="B40" s="10">
        <f>58346.95+41663.1</f>
        <v>100010.04999999999</v>
      </c>
      <c r="C40" s="11">
        <f>B39+B40</f>
        <v>164860.19</v>
      </c>
    </row>
    <row r="41" spans="1:3" x14ac:dyDescent="0.25">
      <c r="A41" s="12" t="s">
        <v>41</v>
      </c>
      <c r="B41" s="9">
        <v>178870.94</v>
      </c>
      <c r="C41" s="5"/>
    </row>
    <row r="42" spans="1:3" x14ac:dyDescent="0.25">
      <c r="A42" s="12" t="s">
        <v>42</v>
      </c>
      <c r="B42" s="9">
        <v>0</v>
      </c>
      <c r="C42" s="5"/>
    </row>
    <row r="43" spans="1:3" x14ac:dyDescent="0.25">
      <c r="A43" s="12" t="s">
        <v>43</v>
      </c>
      <c r="B43" s="9">
        <v>8406.9599999999991</v>
      </c>
      <c r="C43" s="5"/>
    </row>
    <row r="44" spans="1:3" x14ac:dyDescent="0.25">
      <c r="A44" s="12" t="s">
        <v>44</v>
      </c>
      <c r="B44" s="9">
        <v>0</v>
      </c>
      <c r="C44" s="5"/>
    </row>
    <row r="45" spans="1:3" x14ac:dyDescent="0.25">
      <c r="A45" s="12" t="s">
        <v>45</v>
      </c>
      <c r="B45" s="10">
        <f>643089.48-209466.26</f>
        <v>433623.22</v>
      </c>
      <c r="C45" s="11">
        <f>SUM(B41:B45)</f>
        <v>620901.12</v>
      </c>
    </row>
    <row r="46" spans="1:3" x14ac:dyDescent="0.25">
      <c r="A46" s="12" t="s">
        <v>6</v>
      </c>
      <c r="B46" s="15">
        <f>SUM(B27:B45)</f>
        <v>5864024.7299999995</v>
      </c>
      <c r="C46" s="15">
        <f>SUM(C27:C45)</f>
        <v>5864024.7300000004</v>
      </c>
    </row>
    <row r="47" spans="1:3" x14ac:dyDescent="0.25">
      <c r="C47" s="5"/>
    </row>
    <row r="48" spans="1:3" x14ac:dyDescent="0.25">
      <c r="A48" s="16" t="s">
        <v>46</v>
      </c>
      <c r="B48" s="9">
        <f>B46+B25</f>
        <v>7304196.3399999999</v>
      </c>
      <c r="C48" s="5"/>
    </row>
    <row r="49" spans="1:3" x14ac:dyDescent="0.25">
      <c r="A49" s="16" t="s">
        <v>47</v>
      </c>
      <c r="B49" s="9">
        <f>6495.71+2447.58</f>
        <v>8943.2900000000009</v>
      </c>
      <c r="C49" s="5"/>
    </row>
    <row r="50" spans="1:3" x14ac:dyDescent="0.25">
      <c r="A50" s="16" t="s">
        <v>48</v>
      </c>
      <c r="B50" s="9">
        <f>B48+B49</f>
        <v>7313139.6299999999</v>
      </c>
    </row>
    <row r="51" spans="1:3" x14ac:dyDescent="0.25">
      <c r="B51" s="9"/>
    </row>
    <row r="52" spans="1:3" x14ac:dyDescent="0.25">
      <c r="B52" s="6">
        <f>B50-7504255.19+209684.32</f>
        <v>18568.759999999485</v>
      </c>
    </row>
  </sheetData>
  <pageMargins left="0.25" right="0.25" top="0.75" bottom="0.75" header="0.3" footer="0.3"/>
  <pageSetup paperSize="8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Eoliano 43</dc:creator>
  <cp:lastModifiedBy>Nikoll Bali</cp:lastModifiedBy>
  <cp:lastPrinted>2024-06-07T11:09:49Z</cp:lastPrinted>
  <dcterms:created xsi:type="dcterms:W3CDTF">2024-06-07T08:49:50Z</dcterms:created>
  <dcterms:modified xsi:type="dcterms:W3CDTF">2024-06-07T11:09:56Z</dcterms:modified>
</cp:coreProperties>
</file>